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candwlep-my.sharepoint.com/personal/jane_wilson_871candwep_co_uk/Documents/New website/P&amp;I Committee/"/>
    </mc:Choice>
  </mc:AlternateContent>
  <xr:revisionPtr revIDLastSave="0" documentId="8_{322103DF-5C89-4DD0-89BA-6A99E20ABA70}" xr6:coauthVersionLast="45" xr6:coauthVersionMax="45" xr10:uidLastSave="{00000000-0000-0000-0000-000000000000}"/>
  <bookViews>
    <workbookView xWindow="-110" yWindow="-110" windowWidth="19420" windowHeight="10420" firstSheet="1" activeTab="1" xr2:uid="{00000000-000D-0000-FFFF-FFFF00000000}"/>
  </bookViews>
  <sheets>
    <sheet name="Sheet1" sheetId="1" r:id="rId1"/>
    <sheet name="All projects" sheetId="2" r:id="rId2"/>
    <sheet name="Sheet2" sheetId="6" r:id="rId3"/>
    <sheet name="projects broken down by LA" sheetId="3" r:id="rId4"/>
    <sheet name="RAG Status" sheetId="4" r:id="rId5"/>
    <sheet name="Qtr spend" sheetId="5" r:id="rId6"/>
  </sheets>
  <definedNames>
    <definedName name="_xlnm.Print_Area" localSheetId="1">'All projects'!$A$2:$U$67</definedName>
    <definedName name="_xlnm.Print_Area" localSheetId="0">Sheet1!$A$1:$N$38</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2" l="1"/>
  <c r="S34" i="2"/>
  <c r="Q34" i="2"/>
  <c r="N34" i="2"/>
  <c r="M34" i="2"/>
  <c r="S26" i="2" l="1"/>
  <c r="R18" i="2"/>
  <c r="T28" i="2"/>
  <c r="O18" i="2"/>
  <c r="N18" i="2"/>
  <c r="M18" i="2"/>
  <c r="M25" i="2"/>
  <c r="M24" i="2"/>
  <c r="R24" i="2"/>
  <c r="R37" i="2"/>
  <c r="M37" i="2"/>
  <c r="P37" i="2"/>
  <c r="Q37" i="2" s="1"/>
  <c r="S36" i="2"/>
  <c r="R36" i="2"/>
  <c r="N36" i="2"/>
  <c r="M36" i="2"/>
  <c r="O44" i="2" l="1"/>
  <c r="N44" i="2"/>
  <c r="P44" i="2"/>
  <c r="Q44" i="2"/>
  <c r="N29" i="2"/>
  <c r="O29" i="2"/>
  <c r="P29" i="2"/>
  <c r="Q29" i="2"/>
  <c r="G35" i="2"/>
  <c r="G36" i="2"/>
  <c r="T36" i="2" s="1"/>
  <c r="G37" i="2"/>
  <c r="T37" i="2" s="1"/>
  <c r="G38" i="2"/>
  <c r="G39" i="2"/>
  <c r="T39" i="2" s="1"/>
  <c r="G40" i="2"/>
  <c r="T40" i="2" s="1"/>
  <c r="G41" i="2"/>
  <c r="T41" i="2" s="1"/>
  <c r="G42" i="2"/>
  <c r="T42" i="2" s="1"/>
  <c r="G34" i="2"/>
  <c r="T34" i="2" s="1"/>
  <c r="G17" i="2"/>
  <c r="G18" i="2"/>
  <c r="T18" i="2" s="1"/>
  <c r="G19" i="2"/>
  <c r="T19" i="2" s="1"/>
  <c r="G20" i="2"/>
  <c r="G22" i="2"/>
  <c r="G23" i="2"/>
  <c r="T23" i="2" s="1"/>
  <c r="G24" i="2"/>
  <c r="T24" i="2" s="1"/>
  <c r="G25" i="2"/>
  <c r="T25" i="2" s="1"/>
  <c r="G26" i="2"/>
  <c r="T26" i="2" s="1"/>
  <c r="G27" i="2"/>
  <c r="G16" i="2"/>
  <c r="Q49" i="2" l="1"/>
  <c r="P49" i="2"/>
  <c r="O49" i="2"/>
  <c r="N49" i="2"/>
  <c r="R16" i="2"/>
  <c r="T16" i="2" s="1"/>
  <c r="U31" i="2" l="1"/>
  <c r="T31" i="2" s="1"/>
  <c r="M22" i="2"/>
  <c r="T22" i="2" s="1"/>
  <c r="M20" i="2"/>
  <c r="T20" i="2" s="1"/>
  <c r="M27" i="2" l="1"/>
  <c r="T27" i="2" s="1"/>
  <c r="R35" i="2" l="1"/>
  <c r="S35" i="2" l="1"/>
  <c r="T35" i="2" s="1"/>
  <c r="G70" i="2" l="1"/>
  <c r="G71" i="2" s="1"/>
  <c r="H29" i="2" l="1"/>
  <c r="L44" i="2" l="1"/>
  <c r="K29" i="2" l="1"/>
  <c r="L29" i="2"/>
  <c r="L49" i="2" s="1"/>
  <c r="B29" i="2" l="1"/>
  <c r="E44" i="2" l="1"/>
  <c r="F44" i="2"/>
  <c r="H44" i="2"/>
  <c r="H49" i="2" s="1"/>
  <c r="I44" i="2"/>
  <c r="J44" i="2"/>
  <c r="K43" i="2"/>
  <c r="D43" i="2"/>
  <c r="G43" i="2" s="1"/>
  <c r="M43" i="2" s="1"/>
  <c r="T43" i="2" l="1"/>
  <c r="K44" i="2"/>
  <c r="K49" i="2" s="1"/>
  <c r="D29" i="2"/>
  <c r="E29" i="2" l="1"/>
  <c r="J29" i="2"/>
  <c r="J49" i="2" s="1"/>
  <c r="C13" i="2" l="1"/>
  <c r="C28" i="2"/>
  <c r="C12" i="2"/>
  <c r="C57" i="2"/>
  <c r="E57" i="2"/>
  <c r="F57" i="2"/>
  <c r="G57" i="2"/>
  <c r="H57" i="2"/>
  <c r="I57" i="2"/>
  <c r="J57" i="2"/>
  <c r="K57" i="2"/>
  <c r="M57" i="2"/>
  <c r="R57" i="2"/>
  <c r="S57" i="2"/>
  <c r="B57" i="2"/>
  <c r="T11" i="2" l="1"/>
  <c r="M17" i="2"/>
  <c r="T17" i="2" s="1"/>
  <c r="G63" i="2" l="1"/>
  <c r="M64" i="2"/>
  <c r="T64" i="2" s="1"/>
  <c r="I64" i="2"/>
  <c r="I65" i="2" s="1"/>
  <c r="J65" i="2"/>
  <c r="B44" i="2" l="1"/>
  <c r="M38" i="2" l="1"/>
  <c r="I21" i="2" l="1"/>
  <c r="G21" i="2" s="1"/>
  <c r="T21" i="2" l="1"/>
  <c r="G29" i="2"/>
  <c r="R29" i="2"/>
  <c r="I29" i="2" l="1"/>
  <c r="D21" i="5"/>
  <c r="E21" i="5" s="1"/>
  <c r="E7" i="5"/>
  <c r="E8" i="5"/>
  <c r="E9" i="5"/>
  <c r="E10" i="5"/>
  <c r="E11" i="5"/>
  <c r="E12" i="5"/>
  <c r="E13" i="5"/>
  <c r="E14" i="5"/>
  <c r="E15" i="5"/>
  <c r="E16" i="5"/>
  <c r="E17" i="5"/>
  <c r="E18" i="5"/>
  <c r="E19" i="5"/>
  <c r="E20" i="5"/>
  <c r="E6" i="5"/>
  <c r="D36" i="5"/>
  <c r="C36" i="5"/>
  <c r="B30" i="5"/>
  <c r="B36" i="5" s="1"/>
  <c r="C22" i="5"/>
  <c r="B14" i="5"/>
  <c r="B5" i="5"/>
  <c r="D22" i="5" l="1"/>
  <c r="E22" i="5" s="1"/>
  <c r="C40" i="5"/>
  <c r="B37" i="5"/>
  <c r="B39" i="5"/>
  <c r="B22" i="5"/>
  <c r="B40" i="5" s="1"/>
  <c r="C23" i="5" l="1"/>
  <c r="D40" i="5"/>
  <c r="B41" i="5"/>
  <c r="T14" i="2"/>
  <c r="T60" i="2"/>
  <c r="K8" i="4" l="1"/>
  <c r="D27" i="4" l="1"/>
  <c r="D23" i="4"/>
  <c r="H65" i="2" l="1"/>
  <c r="M63" i="2" s="1"/>
  <c r="S29" i="2" l="1"/>
  <c r="M29" i="2" l="1"/>
  <c r="M6" i="2"/>
  <c r="M47" i="2" s="1"/>
  <c r="E22" i="3" l="1"/>
  <c r="E24" i="3"/>
  <c r="E23" i="3"/>
  <c r="B65" i="2"/>
  <c r="C10" i="3"/>
  <c r="C11" i="3"/>
  <c r="C9" i="3"/>
  <c r="E5" i="3"/>
  <c r="E8" i="3"/>
  <c r="C8" i="3"/>
  <c r="D28" i="3"/>
  <c r="B28" i="3"/>
  <c r="B34" i="3"/>
  <c r="E19" i="3"/>
  <c r="B19" i="3"/>
  <c r="D12" i="3"/>
  <c r="B12" i="3"/>
  <c r="C5" i="3"/>
  <c r="C6" i="3"/>
  <c r="C16" i="3"/>
  <c r="C26" i="3"/>
  <c r="C22" i="3"/>
  <c r="C23" i="3"/>
  <c r="C24" i="3"/>
  <c r="C15" i="3"/>
  <c r="C7" i="3"/>
  <c r="C17" i="3"/>
  <c r="D18" i="3"/>
  <c r="D19" i="3" s="1"/>
  <c r="C25" i="3"/>
  <c r="C27" i="3"/>
  <c r="C31" i="3"/>
  <c r="D32" i="3"/>
  <c r="C32" i="3" s="1"/>
  <c r="C33" i="3"/>
  <c r="E12" i="3" l="1"/>
  <c r="E28" i="3"/>
  <c r="D34" i="3"/>
  <c r="C18" i="3"/>
  <c r="C37" i="2" l="1"/>
  <c r="C38" i="2"/>
  <c r="C39" i="2"/>
  <c r="C41" i="2"/>
  <c r="C34" i="2"/>
  <c r="C17" i="2"/>
  <c r="C10" i="2"/>
  <c r="C14" i="2"/>
  <c r="C18" i="2"/>
  <c r="C19" i="2"/>
  <c r="C20" i="2"/>
  <c r="C21" i="2"/>
  <c r="C22" i="2"/>
  <c r="C11" i="2"/>
  <c r="C23" i="2"/>
  <c r="C24" i="2"/>
  <c r="C25" i="2"/>
  <c r="C26" i="2"/>
  <c r="C27" i="2"/>
  <c r="C16" i="2" l="1"/>
  <c r="C35" i="2"/>
  <c r="D36" i="2"/>
  <c r="C36" i="2" l="1"/>
  <c r="F7" i="2"/>
  <c r="F10" i="2"/>
  <c r="F29" i="2" l="1"/>
  <c r="T10" i="2"/>
  <c r="F48" i="2"/>
  <c r="E48" i="2"/>
  <c r="S38" i="2"/>
  <c r="R38" i="2"/>
  <c r="T38" i="2" s="1"/>
  <c r="M44" i="2" l="1"/>
  <c r="G44" i="2"/>
  <c r="R44" i="2"/>
  <c r="F30" i="2"/>
  <c r="S44" i="2"/>
  <c r="M61" i="2"/>
  <c r="E8" i="2" l="1"/>
  <c r="F8" i="2"/>
  <c r="S6" i="2"/>
  <c r="S47" i="2" s="1"/>
  <c r="R6" i="2"/>
  <c r="R47" i="2" s="1"/>
  <c r="G6" i="2"/>
  <c r="G51" i="2" s="1"/>
  <c r="G47" i="2" l="1"/>
  <c r="H33" i="2"/>
  <c r="T6" i="2"/>
  <c r="R65" i="2"/>
  <c r="T61" i="2"/>
  <c r="D40" i="2"/>
  <c r="D44" i="2" s="1"/>
  <c r="D61" i="2"/>
  <c r="E65" i="2"/>
  <c r="F65" i="2"/>
  <c r="G65" i="2"/>
  <c r="M65" i="2"/>
  <c r="S65" i="2"/>
  <c r="D65" i="2"/>
  <c r="C29" i="2"/>
  <c r="T44" i="2" l="1"/>
  <c r="T33" i="2"/>
  <c r="T48" i="2" s="1"/>
  <c r="C40" i="2"/>
  <c r="T65" i="2"/>
  <c r="E49" i="2"/>
  <c r="E67" i="2" s="1"/>
  <c r="E50" i="2" l="1"/>
  <c r="T29" i="2"/>
  <c r="T55" i="2"/>
  <c r="T53" i="2"/>
  <c r="G7" i="2" l="1"/>
  <c r="G8" i="2" s="1"/>
  <c r="F49" i="2"/>
  <c r="G48" i="2" l="1"/>
  <c r="F50" i="2"/>
  <c r="F67" i="2" s="1"/>
  <c r="B49" i="2"/>
  <c r="B67" i="2" s="1"/>
  <c r="C44" i="2"/>
  <c r="D49" i="2"/>
  <c r="R45" i="2"/>
  <c r="S45" i="2"/>
  <c r="G45" i="2"/>
  <c r="S49" i="2"/>
  <c r="T49" i="2"/>
  <c r="T57" i="2" s="1"/>
  <c r="M49" i="2"/>
  <c r="R49" i="2"/>
  <c r="I49" i="2"/>
  <c r="G49" i="2"/>
  <c r="G67" i="2" s="1"/>
  <c r="D54" i="2" l="1"/>
  <c r="D57" i="2" s="1"/>
  <c r="D67" i="2" s="1"/>
  <c r="H67" i="2"/>
  <c r="G50" i="2"/>
  <c r="M7" i="2" s="1"/>
  <c r="M8" i="2" s="1"/>
  <c r="M48" i="2" s="1"/>
  <c r="M50" i="2" s="1"/>
  <c r="R7" i="2" s="1"/>
  <c r="R8" i="2" s="1"/>
  <c r="R48" i="2" s="1"/>
  <c r="R50" i="2" s="1"/>
  <c r="S7" i="2" s="1"/>
  <c r="S8" i="2" s="1"/>
  <c r="S48" i="2" s="1"/>
  <c r="S50" i="2" s="1"/>
  <c r="R67" i="2" l="1"/>
  <c r="S67" i="2"/>
  <c r="M67" i="2"/>
  <c r="T6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Rachel Brosnahan</author>
  </authors>
  <commentList>
    <comment ref="D16" authorId="0" shapeId="0" xr:uid="{00000000-0006-0000-0100-000001000000}">
      <text>
        <r>
          <rPr>
            <b/>
            <sz val="9"/>
            <color indexed="81"/>
            <rFont val="Tahoma"/>
            <family val="2"/>
          </rPr>
          <t>Rachel Brosnahan:</t>
        </r>
        <r>
          <rPr>
            <sz val="9"/>
            <color indexed="81"/>
            <rFont val="Tahoma"/>
            <family val="2"/>
          </rPr>
          <t xml:space="preserve">
£2.35m from LTB)
</t>
        </r>
      </text>
    </comment>
    <comment ref="B35" authorId="0" shapeId="0" xr:uid="{00000000-0006-0000-0100-000002000000}">
      <text>
        <r>
          <rPr>
            <b/>
            <sz val="9"/>
            <color indexed="81"/>
            <rFont val="Tahoma"/>
            <family val="2"/>
          </rPr>
          <t>Rachel Brosnahan:</t>
        </r>
        <r>
          <rPr>
            <sz val="9"/>
            <color indexed="81"/>
            <rFont val="Tahoma"/>
            <family val="2"/>
          </rPr>
          <t xml:space="preserve">
Could be as high as £90m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Rachel Brosnahan</author>
  </authors>
  <commentList>
    <comment ref="B17" authorId="0" shapeId="0" xr:uid="{00000000-0006-0000-0300-000001000000}">
      <text>
        <r>
          <rPr>
            <b/>
            <sz val="9"/>
            <color indexed="81"/>
            <rFont val="Tahoma"/>
            <family val="2"/>
          </rPr>
          <t>Rachel Brosnahan:</t>
        </r>
        <r>
          <rPr>
            <sz val="9"/>
            <color indexed="81"/>
            <rFont val="Tahoma"/>
            <family val="2"/>
          </rPr>
          <t xml:space="preserve">
Could be as high as £90m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Rachel Brosnahan</author>
  </authors>
  <commentList>
    <comment ref="C22" authorId="0" shapeId="0" xr:uid="{00000000-0006-0000-0400-000001000000}">
      <text>
        <r>
          <rPr>
            <b/>
            <sz val="9"/>
            <color indexed="81"/>
            <rFont val="Tahoma"/>
            <family val="2"/>
          </rPr>
          <t>Rachel Brosnahan:</t>
        </r>
        <r>
          <rPr>
            <sz val="9"/>
            <color indexed="81"/>
            <rFont val="Tahoma"/>
            <family val="2"/>
          </rPr>
          <t xml:space="preserve">
Could be as high as £90m
</t>
        </r>
      </text>
    </comment>
  </commentList>
</comments>
</file>

<file path=xl/sharedStrings.xml><?xml version="1.0" encoding="utf-8"?>
<sst xmlns="http://schemas.openxmlformats.org/spreadsheetml/2006/main" count="373" uniqueCount="213">
  <si>
    <t>LGF projects - Key Milestones for publicity</t>
  </si>
  <si>
    <t>Activity</t>
  </si>
  <si>
    <t xml:space="preserve">April </t>
  </si>
  <si>
    <t>May</t>
  </si>
  <si>
    <t>June</t>
  </si>
  <si>
    <t>July</t>
  </si>
  <si>
    <t>August</t>
  </si>
  <si>
    <t>September</t>
  </si>
  <si>
    <t>October</t>
  </si>
  <si>
    <t>November</t>
  </si>
  <si>
    <t>December</t>
  </si>
  <si>
    <t>January</t>
  </si>
  <si>
    <t>February</t>
  </si>
  <si>
    <t>March</t>
  </si>
  <si>
    <t>April</t>
  </si>
  <si>
    <t>17/18</t>
  </si>
  <si>
    <t>18/19</t>
  </si>
  <si>
    <t>Project</t>
  </si>
  <si>
    <t>Sydney Road Bridge</t>
  </si>
  <si>
    <t>Conditional Offer Letter issued</t>
  </si>
  <si>
    <t>Planning approved</t>
  </si>
  <si>
    <t>Project Starts on site</t>
  </si>
  <si>
    <t>Crewe Green Roundabout</t>
  </si>
  <si>
    <t>Project finishes</t>
  </si>
  <si>
    <t>Reaseheath Agri Tech Centre</t>
  </si>
  <si>
    <t>Reaseheath Learning Hub and Accommodation</t>
  </si>
  <si>
    <t>Reaseheath Employer Focused Hub</t>
  </si>
  <si>
    <t>Reaseheath Sports Science and Performance Academy</t>
  </si>
  <si>
    <t>Cheshire and Warrington Growth Hub</t>
  </si>
  <si>
    <t>Crewe High Growth City – Congleton Link Road</t>
  </si>
  <si>
    <t>Official opening</t>
  </si>
  <si>
    <t>First tennants move in</t>
  </si>
  <si>
    <t>Offer letter issued</t>
  </si>
  <si>
    <t>First £1m invested?</t>
  </si>
  <si>
    <t>Start on site</t>
  </si>
  <si>
    <t>Ellesmere Port Central Development Zone</t>
  </si>
  <si>
    <t>Warrington West Station</t>
  </si>
  <si>
    <t>Warrington Waterfront (Centre Park Link)</t>
  </si>
  <si>
    <t>OMEGA - Birchwood Pinchpoint</t>
  </si>
  <si>
    <t>Chester Central</t>
  </si>
  <si>
    <t xml:space="preserve"> M &amp; Cheshire Life Science Investment Programme</t>
  </si>
  <si>
    <t>Thornton Science Park</t>
  </si>
  <si>
    <t>M62 J8 Junction Improvements</t>
  </si>
  <si>
    <t>West Cheshire College</t>
  </si>
  <si>
    <t>AMRC</t>
  </si>
  <si>
    <t>Jodrell Bank</t>
  </si>
  <si>
    <t>Poynton Relief Road</t>
  </si>
  <si>
    <t>Reaseheath Additional Accomodation</t>
  </si>
  <si>
    <t>Conditional offer letter</t>
  </si>
  <si>
    <t>Cheshire Green</t>
  </si>
  <si>
    <t>Growing Places Fund</t>
  </si>
  <si>
    <t>Crewe Ready Heart</t>
  </si>
  <si>
    <t>LGF3 projects??</t>
  </si>
  <si>
    <t>Total grant</t>
  </si>
  <si>
    <t>Paid in 16/17</t>
  </si>
  <si>
    <t>19/20</t>
  </si>
  <si>
    <t>20/21</t>
  </si>
  <si>
    <t>Total</t>
  </si>
  <si>
    <t>Ellesmere Port and Chester Campus remodelling</t>
  </si>
  <si>
    <t>Paid in 15/16</t>
  </si>
  <si>
    <t>Major Transport Schemes</t>
  </si>
  <si>
    <t>LGF1/2</t>
  </si>
  <si>
    <t>LGF3</t>
  </si>
  <si>
    <t>Skills</t>
  </si>
  <si>
    <t>Energy Innovation</t>
  </si>
  <si>
    <t>Unlocking Winsford Industrial expansion Land</t>
  </si>
  <si>
    <t>Warrington East Highways Improvements</t>
  </si>
  <si>
    <t>Joint Cheshire and Warrington Sustainable Travel Access Fund</t>
  </si>
  <si>
    <t>Omega Local Highways Schemes phase 2</t>
  </si>
  <si>
    <t>Tarvin Road</t>
  </si>
  <si>
    <t>Total LGF3 Spend</t>
  </si>
  <si>
    <t>Total LGF 1/2/3 spend</t>
  </si>
  <si>
    <t>Total LGF 1/2 spend</t>
  </si>
  <si>
    <t>GM &amp; Cheshire Life Science Investment Programme</t>
  </si>
  <si>
    <t>GPF</t>
  </si>
  <si>
    <t>Middlewich Bypass</t>
  </si>
  <si>
    <t>A500 dualing</t>
  </si>
  <si>
    <t>Comment</t>
  </si>
  <si>
    <t>Cheshire Green Employment Park</t>
  </si>
  <si>
    <t>Management Charge (1%)</t>
  </si>
  <si>
    <t>Indicative allocation / Profile</t>
  </si>
  <si>
    <t>BEIS funding Profile</t>
  </si>
  <si>
    <t>Difference between profile and forecast spend</t>
  </si>
  <si>
    <t>LEP total spend by year</t>
  </si>
  <si>
    <t>Opening Balance</t>
  </si>
  <si>
    <t>Best Guess</t>
  </si>
  <si>
    <t>Total Balance (profile +c/f)</t>
  </si>
  <si>
    <t>£1.257m secured fom DfT</t>
  </si>
  <si>
    <t>DfT given £2m development grant. May not start until 2021</t>
  </si>
  <si>
    <t>Funding defrayed on CEC projects</t>
  </si>
  <si>
    <t xml:space="preserve">Profile from WBC </t>
  </si>
  <si>
    <t>Difference</t>
  </si>
  <si>
    <t>Balance c/f (defrayed by CEC)</t>
  </si>
  <si>
    <t>TotaL LGF BEIS profile + CF funding</t>
  </si>
  <si>
    <t>Crewe High Speed-ready Heart Town Centre Regeneration Programme</t>
  </si>
  <si>
    <t>Total project cost (£)</t>
  </si>
  <si>
    <t>Intevention rate (%)</t>
  </si>
  <si>
    <t>Total Project Cost</t>
  </si>
  <si>
    <t>LGF/DFT grant funding</t>
  </si>
  <si>
    <t>Cheshire East Council</t>
  </si>
  <si>
    <t>Cheshire West and Cheshire Council</t>
  </si>
  <si>
    <t>Warrington Brough Council</t>
  </si>
  <si>
    <t>Current status</t>
  </si>
  <si>
    <t>Spent to date</t>
  </si>
  <si>
    <t>total</t>
  </si>
  <si>
    <t>Sub-regional Projects</t>
  </si>
  <si>
    <t>Outline business case being finalised.  Detailed design work commenced.</t>
  </si>
  <si>
    <t>Balfour Beatty appointed to take project through to pre-construction.  Order plaecd with BT for diversions.  Public consultation complete. Planning app submitted.  Conditional Offer from LEP issued in March.  First claim paid.</t>
  </si>
  <si>
    <t>Jacobs have been appointed to manage the project. Public consultation complete.  Planning approved.  Rail possessions booked. Conditional offer letter issued by LEP and first claim paid</t>
  </si>
  <si>
    <t>Bus Interchange complete</t>
  </si>
  <si>
    <t>Complete</t>
  </si>
  <si>
    <t>Appointed Bus case consultants.  Will taking project to P&amp;I for conditional approval in September</t>
  </si>
  <si>
    <t>Planning permission from both Las granted.  Drafting CPOs.  Expect enquiry early 2018.</t>
  </si>
  <si>
    <t>CPO enquiry finished.  OJEU works notice due to be published in July.  Due to award contact in January 18.  On site September 18.</t>
  </si>
  <si>
    <t>Intervention Rate</t>
  </si>
  <si>
    <t>Project board established.  Design work progressing.  Most ecological and topographical studies complete.</t>
  </si>
  <si>
    <t>Initial design work complete producing 5 options.  Seeking to get MOUs signed by end of July and funding package agreed by end of September.</t>
  </si>
  <si>
    <t>Planning application in for Tiger trailer site but wider planning appliation for the site not ready.  Business case consultant appointed through LLP.</t>
  </si>
  <si>
    <t>Business case consultants appointed.  Due to got to January P&amp;I</t>
  </si>
  <si>
    <t>3 rounds of public consultation completed.  Planning approved.  LEP conditional offer lette issued and first claim paid</t>
  </si>
  <si>
    <t xml:space="preserve">Construction started on site in January 17 and due to complete in April 18.  Project has slipped one month. </t>
  </si>
  <si>
    <t>LEP conditional offer lette issued and first claim paid.  Planning application submitted.</t>
  </si>
  <si>
    <t>Initial design work undertaken.</t>
  </si>
  <si>
    <t>Waiting for agreement between autorities as to which shemes to deliver</t>
  </si>
  <si>
    <t>Strategy due to be completed in Autumn.  There will then be a call for projects</t>
  </si>
  <si>
    <t>Skills strategy being written.  There will then be a call for projects.</t>
  </si>
  <si>
    <t>Consultation events carried out.  Business case due to be presented to P&amp;I in November.</t>
  </si>
  <si>
    <t>Projects broken down by Local Authority</t>
  </si>
  <si>
    <t>Actual Q1 17/18</t>
  </si>
  <si>
    <t>Growth Hub</t>
  </si>
  <si>
    <t>Profiled          17/18</t>
  </si>
  <si>
    <t>Profile from CEC updated 14.08.17</t>
  </si>
  <si>
    <t>Actual Q2 17/18</t>
  </si>
  <si>
    <t>Project Name</t>
  </si>
  <si>
    <t>Total Cost (£)</t>
  </si>
  <si>
    <t>RAG Status</t>
  </si>
  <si>
    <t>LGF 1/2</t>
  </si>
  <si>
    <t>LGF 3</t>
  </si>
  <si>
    <t>In design.  Due to start on Site in November 18.  Slight issue with land required for crane for bridge</t>
  </si>
  <si>
    <t>Planning permission granted 27.09.17.  P&amp;I given full approval</t>
  </si>
  <si>
    <t>Chester Central (Northgate and Bus Interchange)</t>
  </si>
  <si>
    <t>Birchwood Pinchpoint</t>
  </si>
  <si>
    <t>M62 J8 Junction Improvements (Omega)</t>
  </si>
  <si>
    <t>Completed</t>
  </si>
  <si>
    <t>Fund now invested £6.3m into 14 companies.  Not likely to achieve outputs and want to negotiate</t>
  </si>
  <si>
    <t>On site</t>
  </si>
  <si>
    <t>Demolition work started.  Concern about contactors costs, but College will pick up overspend.</t>
  </si>
  <si>
    <t>On site and going well.</t>
  </si>
  <si>
    <t>Project complete, 5 businesses, employing 13 staff now in the building but the Energy Demonstrator Hall is still empty.</t>
  </si>
  <si>
    <t>Design work ongoing.  Current design options £12m over budget.  Not all stakeholders have signed MOU and still not clear of space requirements of all stakeholders.  Funding strategy delayed until November when design work is due to be completed.</t>
  </si>
  <si>
    <t>Phase 1 completed.  Design work for phase 2 ongoing</t>
  </si>
  <si>
    <t>Outline business case being developed.  Due to seek outline approval from P&amp;I in October</t>
  </si>
  <si>
    <t>Outline business case being developed.  Due to seek outline approval from P&amp;I in January</t>
  </si>
  <si>
    <t>Design work continuing.  Work on the business case has commenced.</t>
  </si>
  <si>
    <t>Awaiting the skills strategy</t>
  </si>
  <si>
    <t>Energy Strategy being worked on.  Due to be completed in December</t>
  </si>
  <si>
    <t>Call for projects due to be issues as Local authorities cannot reach agreement on priorities.</t>
  </si>
  <si>
    <t>Congleton Link Road</t>
  </si>
  <si>
    <t>Route options reduced to two and are being further developed. Outline business case being developed.</t>
  </si>
  <si>
    <t>Work continuing on CPO process.  Public inquiry expected in early 2018.  Costs £19m over original budget.  CEC working on a funding strategy.</t>
  </si>
  <si>
    <t>Summary of project status</t>
  </si>
  <si>
    <t>Birchwood Pinch point</t>
  </si>
  <si>
    <t>On site, going very well.  Due to complete in May 18.</t>
  </si>
  <si>
    <t xml:space="preserve">Project progressing well.  Due to start on site in December/early January </t>
  </si>
  <si>
    <t>Conditional approval from P&amp;I.  Council funding approved.  Design work progressing.</t>
  </si>
  <si>
    <t>Design work continuing on what is a five part scheme.  Require £2m of Enterprise Zone funding which will need to be cash flowed and is causing some concern at WBC</t>
  </si>
  <si>
    <t>Consultation events due to be held.  Design work continuing.  BCR is currently low.  Needs to tie in with HS2 announcement.</t>
  </si>
  <si>
    <t>Grant (£)</t>
  </si>
  <si>
    <t>£12m over budget.  Progressing through stage 2 tender process.  BCR is only showing at 2.2 at the moment.  Could become an issue if the costs escalate further.</t>
  </si>
  <si>
    <t>On site and going well. Recently received press coverage.</t>
  </si>
  <si>
    <t>Centre Park Link</t>
  </si>
  <si>
    <t>Compulsory Purchase Order process has started.  Peel have now agreed a price for the bridging rights, but still dispute with Maro over land values.  Two smaller pieces of land also required.  Whole programme has been pushed back 15mths to cover.  Could be bought forward if agreement can be reached over the land values for the trhee remaining plots required.</t>
  </si>
  <si>
    <t>5.10.17</t>
  </si>
  <si>
    <t>Bus Station completed and operational.  Monthly information now being submitted for Northgate which is really useful.  Does show there is significant uncertainty about funding of Northgate scheme and issues with puchasing all the property required.  CPO process behind schedule.</t>
  </si>
  <si>
    <t>Reaseheath Sports Science and Performance Academy (osprey)</t>
  </si>
  <si>
    <t>Actual Q3 17/18</t>
  </si>
  <si>
    <t>Spend by Quarter breakdown</t>
  </si>
  <si>
    <t>Total for 17/18</t>
  </si>
  <si>
    <t>LGF total profile</t>
  </si>
  <si>
    <t>LGF Revenue</t>
  </si>
  <si>
    <t>Housing Fund Revenue (CWAC)</t>
  </si>
  <si>
    <t>DfT Tail majors including Crewe Green Link Road</t>
  </si>
  <si>
    <t>as above</t>
  </si>
  <si>
    <t>Completed Projects</t>
  </si>
  <si>
    <t>Live Projects</t>
  </si>
  <si>
    <t>Total LGF allocation</t>
  </si>
  <si>
    <t>Actual q3 17/18</t>
  </si>
  <si>
    <t>Profile updated Jan 18</t>
  </si>
  <si>
    <t>Public Match</t>
  </si>
  <si>
    <t xml:space="preserve">Private Match </t>
  </si>
  <si>
    <t>Outputs</t>
  </si>
  <si>
    <t>Q2</t>
  </si>
  <si>
    <t>Spend slipped from 17/18 due to approval process of schemes.</t>
  </si>
  <si>
    <t>Profile updated Jan 18.  total project cost gone up from £10.5m</t>
  </si>
  <si>
    <t xml:space="preserve">Updated profile on 05.04.18  </t>
  </si>
  <si>
    <t>Fuly claimed</t>
  </si>
  <si>
    <t>5% of grant remaining</t>
  </si>
  <si>
    <t>Profile needs to be updated following submission of the OBC</t>
  </si>
  <si>
    <t>Actual  q4 17/18</t>
  </si>
  <si>
    <t>Paid in 17/18</t>
  </si>
  <si>
    <t>Profiled 18/19</t>
  </si>
  <si>
    <t>Profiled Q1 18/19</t>
  </si>
  <si>
    <t>Profiled Q2 18/19</t>
  </si>
  <si>
    <t>Profiled Q3 18/19</t>
  </si>
  <si>
    <t>Profiled Q4 18/19</t>
  </si>
  <si>
    <t>Based on profile provided April 18</t>
  </si>
  <si>
    <t>Updated profile 17.04.18</t>
  </si>
  <si>
    <t>Profile updated 17.04.18 dependent on land issues being resolved.  Prfoile reflects funding 100% of costs to date and looks to hold back 5% in final year</t>
  </si>
  <si>
    <t>reprofiled 17.04.18 to reflect revised int. rate and need to hold back 10%</t>
  </si>
  <si>
    <t>updated 17.04.18</t>
  </si>
  <si>
    <t>Updated 18.04.18 based on Q2 approval.</t>
  </si>
  <si>
    <t>Unallocated (from LGF1 skills projects)</t>
  </si>
  <si>
    <t>Date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</si>
</sst>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0_-;\-* #,##0_-;_-* &quot;-&quot;??_-;_-@_-"/>
  </numFmts>
  <fonts count="15" x14ac:knownFonts="1">
    <font>
      <sz val="11"/>
      <color theme="1"/>
      <name val="Calibri"/>
      <family val="2"/>
      <scheme val="minor"/>
    </font>
    <font>
      <b/>
      <sz val="11"/>
      <color theme="1"/>
      <name val="Calibri"/>
      <family val="2"/>
      <scheme val="minor"/>
    </font>
    <font>
      <b/>
      <u/>
      <sz val="11"/>
      <color theme="1"/>
      <name val="Calibri"/>
      <family val="2"/>
      <scheme val="minor"/>
    </font>
    <font>
      <b/>
      <sz val="14"/>
      <color theme="1"/>
      <name val="Calibri"/>
      <family val="2"/>
      <scheme val="minor"/>
    </font>
    <font>
      <sz val="14"/>
      <color theme="1"/>
      <name val="Calibri"/>
      <family val="2"/>
      <scheme val="minor"/>
    </font>
    <font>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charset val="1"/>
      <scheme val="minor"/>
    </font>
    <font>
      <sz val="9"/>
      <color indexed="81"/>
      <name val="Tahoma"/>
      <family val="2"/>
    </font>
    <font>
      <b/>
      <sz val="9"/>
      <color indexed="81"/>
      <name val="Tahoma"/>
      <family val="2"/>
    </font>
    <font>
      <sz val="12"/>
      <color theme="1"/>
      <name val="Arial"/>
      <family val="2"/>
    </font>
    <font>
      <b/>
      <sz val="12"/>
      <color theme="1"/>
      <name val="Arial"/>
      <family val="2"/>
    </font>
    <font>
      <b/>
      <u/>
      <sz val="14"/>
      <color theme="1"/>
      <name val="Calibri"/>
      <family val="2"/>
      <scheme val="minor"/>
    </font>
    <font>
      <b/>
      <i/>
      <sz val="11"/>
      <color theme="1"/>
      <name val="Calibri"/>
      <family val="2"/>
      <scheme val="minor"/>
    </font>
  </fonts>
  <fills count="24">
    <fill>
      <patternFill patternType="none"/>
    </fill>
    <fill>
      <patternFill patternType="gray125"/>
    </fill>
    <fill>
      <patternFill patternType="solid">
        <fgColor theme="4" tint="-0.249977111117893"/>
        <bgColor indexed="64"/>
      </patternFill>
    </fill>
    <fill>
      <patternFill patternType="solid">
        <fgColor theme="8" tint="-0.249977111117893"/>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1F373"/>
        <bgColor indexed="64"/>
      </patternFill>
    </fill>
    <fill>
      <patternFill patternType="solid">
        <fgColor theme="3" tint="0.59999389629810485"/>
        <bgColor indexed="64"/>
      </patternFill>
    </fill>
    <fill>
      <patternFill patternType="solid">
        <fgColor rgb="FFC7ACD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s>
  <cellStyleXfs count="2">
    <xf numFmtId="0" fontId="0" fillId="0" borderId="0"/>
    <xf numFmtId="43" fontId="5" fillId="0" borderId="0" applyFont="0" applyFill="0" applyBorder="0" applyAlignment="0" applyProtection="0"/>
  </cellStyleXfs>
  <cellXfs count="182">
    <xf numFmtId="0" fontId="0" fillId="0" borderId="0" xfId="0"/>
    <xf numFmtId="0" fontId="0" fillId="0" borderId="1" xfId="0" applyBorder="1"/>
    <xf numFmtId="0" fontId="1" fillId="0" borderId="1" xfId="0" applyFont="1" applyBorder="1"/>
    <xf numFmtId="0" fontId="0" fillId="0" borderId="2" xfId="0" applyBorder="1"/>
    <xf numFmtId="0" fontId="1" fillId="0" borderId="1" xfId="0" applyFont="1" applyBorder="1" applyAlignment="1">
      <alignment wrapText="1"/>
    </xf>
    <xf numFmtId="0" fontId="0" fillId="2" borderId="1" xfId="0" applyFill="1" applyBorder="1"/>
    <xf numFmtId="0" fontId="0" fillId="3" borderId="1" xfId="0" applyFill="1" applyBorder="1"/>
    <xf numFmtId="0" fontId="0" fillId="4" borderId="1" xfId="0" applyFill="1" applyBorder="1"/>
    <xf numFmtId="0" fontId="0" fillId="5" borderId="1" xfId="0" applyFill="1" applyBorder="1"/>
    <xf numFmtId="0" fontId="2" fillId="0" borderId="0" xfId="0" applyFont="1" applyAlignment="1">
      <alignment wrapText="1"/>
    </xf>
    <xf numFmtId="0" fontId="1" fillId="0" borderId="0" xfId="0" applyFont="1" applyAlignment="1">
      <alignment wrapText="1"/>
    </xf>
    <xf numFmtId="0" fontId="1" fillId="0" borderId="2" xfId="0" applyFont="1" applyBorder="1" applyAlignment="1">
      <alignment wrapText="1"/>
    </xf>
    <xf numFmtId="0" fontId="0" fillId="6" borderId="1" xfId="0" applyFill="1" applyBorder="1"/>
    <xf numFmtId="0" fontId="3" fillId="7" borderId="1" xfId="0" applyFont="1" applyFill="1" applyBorder="1" applyAlignment="1">
      <alignment wrapText="1"/>
    </xf>
    <xf numFmtId="0" fontId="4" fillId="7" borderId="1" xfId="0" applyFont="1" applyFill="1" applyBorder="1"/>
    <xf numFmtId="165" fontId="0" fillId="0" borderId="1" xfId="1" applyNumberFormat="1" applyFont="1" applyBorder="1"/>
    <xf numFmtId="0" fontId="1" fillId="9" borderId="1" xfId="0" applyFont="1" applyFill="1" applyBorder="1"/>
    <xf numFmtId="0" fontId="6" fillId="10" borderId="1" xfId="0" applyFont="1" applyFill="1" applyBorder="1"/>
    <xf numFmtId="0" fontId="3" fillId="8" borderId="1" xfId="0" applyFont="1" applyFill="1" applyBorder="1" applyAlignment="1">
      <alignment wrapText="1"/>
    </xf>
    <xf numFmtId="165" fontId="0" fillId="8" borderId="1" xfId="1" applyNumberFormat="1" applyFont="1" applyFill="1" applyBorder="1"/>
    <xf numFmtId="0" fontId="1" fillId="0" borderId="1" xfId="0" applyFont="1" applyFill="1" applyBorder="1" applyAlignment="1">
      <alignment wrapText="1"/>
    </xf>
    <xf numFmtId="165" fontId="1" fillId="0" borderId="1" xfId="1" applyNumberFormat="1" applyFont="1" applyBorder="1"/>
    <xf numFmtId="0" fontId="0" fillId="0" borderId="1" xfId="0" applyFont="1" applyBorder="1" applyAlignment="1">
      <alignment wrapText="1"/>
    </xf>
    <xf numFmtId="0" fontId="0" fillId="0" borderId="3" xfId="0" applyFont="1" applyBorder="1" applyAlignment="1">
      <alignment horizontal="left"/>
    </xf>
    <xf numFmtId="0" fontId="0" fillId="0" borderId="1" xfId="0" applyFont="1" applyBorder="1" applyAlignment="1">
      <alignment horizontal="left" wrapText="1"/>
    </xf>
    <xf numFmtId="165" fontId="0" fillId="0" borderId="5" xfId="1" applyNumberFormat="1" applyFont="1" applyBorder="1"/>
    <xf numFmtId="165" fontId="1" fillId="0" borderId="5" xfId="1" applyNumberFormat="1" applyFont="1" applyBorder="1"/>
    <xf numFmtId="165" fontId="0" fillId="8" borderId="5" xfId="1" applyNumberFormat="1" applyFont="1" applyFill="1" applyBorder="1"/>
    <xf numFmtId="0" fontId="6" fillId="11" borderId="1" xfId="0" applyFont="1" applyFill="1" applyBorder="1" applyAlignment="1">
      <alignment wrapText="1"/>
    </xf>
    <xf numFmtId="0" fontId="3" fillId="12" borderId="1" xfId="0" applyFont="1" applyFill="1" applyBorder="1" applyAlignment="1">
      <alignment wrapText="1"/>
    </xf>
    <xf numFmtId="165" fontId="1" fillId="9" borderId="1" xfId="1" applyNumberFormat="1" applyFont="1" applyFill="1" applyBorder="1" applyAlignment="1">
      <alignment wrapText="1"/>
    </xf>
    <xf numFmtId="165" fontId="1" fillId="9" borderId="5" xfId="1" applyNumberFormat="1" applyFont="1" applyFill="1" applyBorder="1" applyAlignment="1">
      <alignment wrapText="1"/>
    </xf>
    <xf numFmtId="165" fontId="0" fillId="10" borderId="1" xfId="1" applyNumberFormat="1" applyFont="1" applyFill="1" applyBorder="1" applyAlignment="1">
      <alignment wrapText="1"/>
    </xf>
    <xf numFmtId="165" fontId="0" fillId="10" borderId="5" xfId="1" applyNumberFormat="1" applyFont="1" applyFill="1" applyBorder="1" applyAlignment="1">
      <alignment wrapText="1"/>
    </xf>
    <xf numFmtId="165" fontId="0" fillId="10" borderId="1" xfId="1" applyNumberFormat="1" applyFont="1" applyFill="1" applyBorder="1"/>
    <xf numFmtId="165" fontId="0" fillId="11" borderId="1" xfId="1" applyNumberFormat="1" applyFont="1" applyFill="1" applyBorder="1" applyAlignment="1">
      <alignment horizontal="center" wrapText="1"/>
    </xf>
    <xf numFmtId="165" fontId="0" fillId="11" borderId="1" xfId="1" applyNumberFormat="1" applyFont="1" applyFill="1" applyBorder="1"/>
    <xf numFmtId="165" fontId="0" fillId="12" borderId="1" xfId="1" applyNumberFormat="1" applyFont="1" applyFill="1" applyBorder="1"/>
    <xf numFmtId="165" fontId="0" fillId="12" borderId="5" xfId="1" applyNumberFormat="1" applyFont="1" applyFill="1" applyBorder="1"/>
    <xf numFmtId="165" fontId="0" fillId="0" borderId="0" xfId="1" applyNumberFormat="1" applyFont="1"/>
    <xf numFmtId="0" fontId="6" fillId="5" borderId="1" xfId="0" applyFont="1" applyFill="1" applyBorder="1" applyAlignment="1">
      <alignment wrapText="1"/>
    </xf>
    <xf numFmtId="165" fontId="0" fillId="5" borderId="1" xfId="1" applyNumberFormat="1" applyFont="1" applyFill="1" applyBorder="1" applyAlignment="1">
      <alignment horizontal="center" wrapText="1"/>
    </xf>
    <xf numFmtId="165" fontId="0" fillId="5" borderId="1" xfId="1" applyNumberFormat="1" applyFont="1" applyFill="1" applyBorder="1"/>
    <xf numFmtId="165" fontId="7" fillId="5" borderId="1" xfId="1" applyNumberFormat="1" applyFont="1" applyFill="1" applyBorder="1"/>
    <xf numFmtId="165" fontId="7" fillId="5" borderId="5" xfId="1" applyNumberFormat="1" applyFont="1" applyFill="1" applyBorder="1"/>
    <xf numFmtId="165" fontId="1" fillId="5" borderId="1" xfId="1" applyNumberFormat="1" applyFont="1" applyFill="1" applyBorder="1" applyAlignment="1">
      <alignment wrapText="1"/>
    </xf>
    <xf numFmtId="165" fontId="1" fillId="12" borderId="1" xfId="1" applyNumberFormat="1" applyFont="1" applyFill="1" applyBorder="1"/>
    <xf numFmtId="0" fontId="7" fillId="0" borderId="1" xfId="0" applyFont="1" applyBorder="1"/>
    <xf numFmtId="165" fontId="7" fillId="0" borderId="1" xfId="1" applyNumberFormat="1" applyFont="1" applyBorder="1"/>
    <xf numFmtId="0" fontId="3" fillId="5" borderId="1" xfId="0" applyFont="1" applyFill="1" applyBorder="1" applyAlignment="1">
      <alignment wrapText="1"/>
    </xf>
    <xf numFmtId="165" fontId="1" fillId="5" borderId="1" xfId="1" applyNumberFormat="1" applyFont="1" applyFill="1" applyBorder="1"/>
    <xf numFmtId="165" fontId="0" fillId="5" borderId="5" xfId="1" applyNumberFormat="1" applyFont="1" applyFill="1" applyBorder="1"/>
    <xf numFmtId="165" fontId="0" fillId="0" borderId="1" xfId="1" applyNumberFormat="1" applyFont="1" applyBorder="1" applyAlignment="1">
      <alignment wrapText="1"/>
    </xf>
    <xf numFmtId="165" fontId="1" fillId="5" borderId="3" xfId="1" applyNumberFormat="1" applyFont="1" applyFill="1" applyBorder="1" applyAlignment="1">
      <alignment wrapText="1"/>
    </xf>
    <xf numFmtId="165" fontId="0" fillId="5" borderId="3" xfId="1" applyNumberFormat="1" applyFont="1" applyFill="1" applyBorder="1"/>
    <xf numFmtId="0" fontId="0" fillId="0" borderId="4" xfId="0" applyFont="1" applyBorder="1" applyAlignment="1">
      <alignment wrapText="1"/>
    </xf>
    <xf numFmtId="165" fontId="0" fillId="0" borderId="4" xfId="1" applyNumberFormat="1" applyFont="1" applyBorder="1"/>
    <xf numFmtId="0" fontId="1" fillId="5" borderId="1" xfId="0" applyFont="1" applyFill="1" applyBorder="1" applyAlignment="1">
      <alignment wrapText="1"/>
    </xf>
    <xf numFmtId="165" fontId="1" fillId="5" borderId="5" xfId="1" applyNumberFormat="1" applyFont="1" applyFill="1" applyBorder="1" applyAlignment="1">
      <alignment wrapText="1"/>
    </xf>
    <xf numFmtId="0" fontId="1" fillId="5" borderId="3" xfId="0" applyFont="1" applyFill="1" applyBorder="1" applyAlignment="1">
      <alignment wrapText="1"/>
    </xf>
    <xf numFmtId="165" fontId="1" fillId="5" borderId="6" xfId="1" applyNumberFormat="1" applyFont="1" applyFill="1" applyBorder="1" applyAlignment="1">
      <alignment wrapText="1"/>
    </xf>
    <xf numFmtId="0" fontId="1" fillId="13" borderId="1" xfId="0" applyFont="1" applyFill="1" applyBorder="1"/>
    <xf numFmtId="165" fontId="1" fillId="13" borderId="1" xfId="1" applyNumberFormat="1" applyFont="1" applyFill="1" applyBorder="1"/>
    <xf numFmtId="165" fontId="0" fillId="13" borderId="1" xfId="1" applyNumberFormat="1" applyFont="1" applyFill="1" applyBorder="1"/>
    <xf numFmtId="0" fontId="8" fillId="0" borderId="0" xfId="0" quotePrefix="1" applyFont="1" applyAlignment="1">
      <alignment wrapText="1"/>
    </xf>
    <xf numFmtId="0" fontId="1" fillId="9" borderId="1" xfId="0" applyFont="1" applyFill="1" applyBorder="1" applyAlignment="1">
      <alignment wrapText="1"/>
    </xf>
    <xf numFmtId="43" fontId="1" fillId="5" borderId="1" xfId="1" applyFont="1" applyFill="1" applyBorder="1" applyAlignment="1">
      <alignment wrapText="1"/>
    </xf>
    <xf numFmtId="43" fontId="1" fillId="5" borderId="3" xfId="1" applyFont="1" applyFill="1" applyBorder="1" applyAlignment="1">
      <alignment wrapText="1"/>
    </xf>
    <xf numFmtId="43" fontId="0" fillId="0" borderId="4" xfId="1" applyFont="1" applyBorder="1" applyAlignment="1">
      <alignment wrapText="1"/>
    </xf>
    <xf numFmtId="43" fontId="0" fillId="0" borderId="1" xfId="1" applyFont="1" applyBorder="1" applyAlignment="1">
      <alignment wrapText="1"/>
    </xf>
    <xf numFmtId="43" fontId="6" fillId="11" borderId="1" xfId="1" applyFont="1" applyFill="1" applyBorder="1" applyAlignment="1">
      <alignment wrapText="1"/>
    </xf>
    <xf numFmtId="43" fontId="6" fillId="5" borderId="1" xfId="1" applyFont="1" applyFill="1" applyBorder="1" applyAlignment="1">
      <alignment wrapText="1"/>
    </xf>
    <xf numFmtId="43" fontId="0" fillId="0" borderId="1" xfId="1" applyFont="1" applyBorder="1"/>
    <xf numFmtId="43" fontId="1" fillId="0" borderId="1" xfId="1" applyFont="1" applyBorder="1"/>
    <xf numFmtId="165" fontId="6" fillId="10" borderId="1" xfId="1" applyNumberFormat="1" applyFont="1" applyFill="1" applyBorder="1"/>
    <xf numFmtId="165" fontId="0" fillId="0" borderId="4" xfId="1" applyNumberFormat="1" applyFont="1" applyBorder="1" applyAlignment="1">
      <alignment wrapText="1"/>
    </xf>
    <xf numFmtId="165" fontId="0" fillId="0" borderId="3" xfId="1" applyNumberFormat="1" applyFont="1" applyBorder="1" applyAlignment="1">
      <alignment horizontal="left"/>
    </xf>
    <xf numFmtId="165" fontId="0" fillId="0" borderId="1" xfId="1" applyNumberFormat="1" applyFont="1" applyBorder="1" applyAlignment="1">
      <alignment horizontal="left" wrapText="1"/>
    </xf>
    <xf numFmtId="165" fontId="1" fillId="0" borderId="1" xfId="1" applyNumberFormat="1" applyFont="1" applyBorder="1" applyAlignment="1">
      <alignment wrapText="1"/>
    </xf>
    <xf numFmtId="165" fontId="6" fillId="11" borderId="1" xfId="1" applyNumberFormat="1" applyFont="1" applyFill="1" applyBorder="1" applyAlignment="1">
      <alignment wrapText="1"/>
    </xf>
    <xf numFmtId="165" fontId="6" fillId="5" borderId="1" xfId="1" applyNumberFormat="1" applyFont="1" applyFill="1" applyBorder="1" applyAlignment="1">
      <alignment wrapText="1"/>
    </xf>
    <xf numFmtId="165" fontId="8" fillId="0" borderId="0" xfId="1" quotePrefix="1" applyNumberFormat="1" applyFont="1" applyAlignment="1">
      <alignment wrapText="1"/>
    </xf>
    <xf numFmtId="165" fontId="3" fillId="8" borderId="1" xfId="1" applyNumberFormat="1" applyFont="1" applyFill="1" applyBorder="1" applyAlignment="1">
      <alignment wrapText="1"/>
    </xf>
    <xf numFmtId="165" fontId="1" fillId="0" borderId="1" xfId="1" applyNumberFormat="1" applyFont="1" applyFill="1" applyBorder="1" applyAlignment="1">
      <alignment wrapText="1"/>
    </xf>
    <xf numFmtId="165" fontId="3" fillId="12" borderId="1" xfId="1" applyNumberFormat="1" applyFont="1" applyFill="1" applyBorder="1" applyAlignment="1">
      <alignment wrapText="1"/>
    </xf>
    <xf numFmtId="165" fontId="3" fillId="5" borderId="1" xfId="1" applyNumberFormat="1" applyFont="1" applyFill="1" applyBorder="1" applyAlignment="1">
      <alignment wrapText="1"/>
    </xf>
    <xf numFmtId="0" fontId="0" fillId="0" borderId="0" xfId="0" applyAlignment="1">
      <alignment wrapText="1"/>
    </xf>
    <xf numFmtId="0" fontId="0" fillId="0" borderId="1" xfId="0" applyBorder="1" applyAlignment="1">
      <alignment wrapText="1"/>
    </xf>
    <xf numFmtId="0" fontId="0" fillId="0" borderId="1" xfId="0" applyFont="1" applyBorder="1" applyAlignment="1">
      <alignment horizontal="left"/>
    </xf>
    <xf numFmtId="165" fontId="0" fillId="0" borderId="1" xfId="1" applyNumberFormat="1" applyFont="1" applyBorder="1" applyAlignment="1">
      <alignment horizontal="left"/>
    </xf>
    <xf numFmtId="0" fontId="8" fillId="0" borderId="1" xfId="0" quotePrefix="1" applyFont="1" applyBorder="1" applyAlignment="1">
      <alignment wrapText="1"/>
    </xf>
    <xf numFmtId="165" fontId="8" fillId="0" borderId="1" xfId="1" quotePrefix="1" applyNumberFormat="1" applyFont="1" applyBorder="1" applyAlignment="1">
      <alignment wrapText="1"/>
    </xf>
    <xf numFmtId="0" fontId="0" fillId="14" borderId="1" xfId="0" applyFill="1" applyBorder="1"/>
    <xf numFmtId="0" fontId="1" fillId="0" borderId="1" xfId="0" quotePrefix="1" applyFont="1" applyBorder="1" applyAlignment="1">
      <alignment wrapText="1"/>
    </xf>
    <xf numFmtId="165" fontId="1" fillId="0" borderId="1" xfId="1" quotePrefix="1" applyNumberFormat="1" applyFont="1" applyBorder="1" applyAlignment="1">
      <alignment wrapText="1"/>
    </xf>
    <xf numFmtId="165" fontId="1" fillId="0" borderId="1" xfId="0" applyNumberFormat="1" applyFont="1" applyBorder="1"/>
    <xf numFmtId="0" fontId="0" fillId="0" borderId="2" xfId="0" applyBorder="1" applyAlignment="1">
      <alignment wrapText="1"/>
    </xf>
    <xf numFmtId="0" fontId="0" fillId="15" borderId="1" xfId="0" applyFill="1" applyBorder="1" applyAlignment="1">
      <alignment wrapText="1"/>
    </xf>
    <xf numFmtId="0" fontId="6" fillId="16" borderId="1" xfId="0" applyFont="1" applyFill="1" applyBorder="1"/>
    <xf numFmtId="0" fontId="0" fillId="16" borderId="1" xfId="0" applyFill="1" applyBorder="1" applyAlignment="1">
      <alignment wrapText="1"/>
    </xf>
    <xf numFmtId="0" fontId="0" fillId="11" borderId="1" xfId="0" applyFill="1" applyBorder="1" applyAlignment="1">
      <alignment wrapText="1"/>
    </xf>
    <xf numFmtId="0" fontId="6" fillId="17" borderId="1" xfId="0" applyFont="1" applyFill="1" applyBorder="1"/>
    <xf numFmtId="0" fontId="0" fillId="17" borderId="1" xfId="0" applyFill="1" applyBorder="1" applyAlignment="1">
      <alignment wrapText="1"/>
    </xf>
    <xf numFmtId="0" fontId="6" fillId="15" borderId="1" xfId="0" applyFont="1" applyFill="1" applyBorder="1" applyAlignment="1">
      <alignment wrapText="1"/>
    </xf>
    <xf numFmtId="165" fontId="0" fillId="15" borderId="1" xfId="1" applyNumberFormat="1" applyFont="1" applyFill="1" applyBorder="1" applyAlignment="1">
      <alignment wrapText="1"/>
    </xf>
    <xf numFmtId="43" fontId="0" fillId="15" borderId="1" xfId="1" applyFont="1" applyFill="1" applyBorder="1" applyAlignment="1">
      <alignment wrapText="1"/>
    </xf>
    <xf numFmtId="165" fontId="0" fillId="15" borderId="1" xfId="1" applyNumberFormat="1" applyFont="1" applyFill="1" applyBorder="1"/>
    <xf numFmtId="165" fontId="0" fillId="16" borderId="1" xfId="1" applyNumberFormat="1" applyFont="1" applyFill="1" applyBorder="1"/>
    <xf numFmtId="165" fontId="0" fillId="11" borderId="1" xfId="1" applyNumberFormat="1" applyFont="1" applyFill="1" applyBorder="1" applyAlignment="1">
      <alignment wrapText="1"/>
    </xf>
    <xf numFmtId="43" fontId="0" fillId="11" borderId="1" xfId="1" applyFont="1" applyFill="1" applyBorder="1" applyAlignment="1">
      <alignment wrapText="1"/>
    </xf>
    <xf numFmtId="43" fontId="0" fillId="16" borderId="1" xfId="1" applyFont="1" applyFill="1" applyBorder="1"/>
    <xf numFmtId="0" fontId="1" fillId="14" borderId="1" xfId="0" applyFont="1" applyFill="1" applyBorder="1" applyAlignment="1">
      <alignment wrapText="1"/>
    </xf>
    <xf numFmtId="165" fontId="1" fillId="9" borderId="1" xfId="1" quotePrefix="1" applyNumberFormat="1" applyFont="1" applyFill="1" applyBorder="1" applyAlignment="1">
      <alignment horizontal="center" wrapText="1"/>
    </xf>
    <xf numFmtId="0" fontId="0" fillId="15" borderId="1" xfId="0" applyFont="1" applyFill="1" applyBorder="1" applyAlignment="1">
      <alignment wrapText="1"/>
    </xf>
    <xf numFmtId="0" fontId="0" fillId="15" borderId="1" xfId="0" applyFill="1" applyBorder="1"/>
    <xf numFmtId="0" fontId="12" fillId="0" borderId="1" xfId="0" applyFont="1" applyBorder="1" applyAlignment="1">
      <alignment vertical="center" wrapText="1"/>
    </xf>
    <xf numFmtId="0" fontId="11" fillId="18" borderId="1" xfId="0" applyFont="1" applyFill="1" applyBorder="1" applyAlignment="1">
      <alignment vertical="center" wrapText="1"/>
    </xf>
    <xf numFmtId="0" fontId="0" fillId="7" borderId="1" xfId="0" applyFont="1" applyFill="1" applyBorder="1" applyAlignment="1">
      <alignment wrapText="1"/>
    </xf>
    <xf numFmtId="165" fontId="0" fillId="7" borderId="1" xfId="1" applyNumberFormat="1" applyFont="1" applyFill="1" applyBorder="1" applyAlignment="1">
      <alignment wrapText="1"/>
    </xf>
    <xf numFmtId="165" fontId="0" fillId="7" borderId="1" xfId="1" applyNumberFormat="1" applyFont="1" applyFill="1" applyBorder="1"/>
    <xf numFmtId="0" fontId="11" fillId="7" borderId="1" xfId="0" applyFont="1" applyFill="1" applyBorder="1" applyAlignment="1">
      <alignment vertical="center" wrapText="1"/>
    </xf>
    <xf numFmtId="0" fontId="0" fillId="18" borderId="1" xfId="0" applyFill="1" applyBorder="1"/>
    <xf numFmtId="0" fontId="0" fillId="19" borderId="1" xfId="0" applyFill="1" applyBorder="1"/>
    <xf numFmtId="0" fontId="0" fillId="20" borderId="1" xfId="0" applyFill="1" applyBorder="1"/>
    <xf numFmtId="0" fontId="11" fillId="19" borderId="1" xfId="0" applyFont="1" applyFill="1" applyBorder="1" applyAlignment="1">
      <alignment vertical="center" wrapText="1"/>
    </xf>
    <xf numFmtId="0" fontId="0" fillId="21" borderId="7" xfId="0" applyFont="1" applyFill="1" applyBorder="1" applyAlignment="1">
      <alignment wrapText="1"/>
    </xf>
    <xf numFmtId="0" fontId="0" fillId="21" borderId="7" xfId="0" applyFill="1" applyBorder="1"/>
    <xf numFmtId="0" fontId="0" fillId="21" borderId="8" xfId="0" applyFill="1" applyBorder="1"/>
    <xf numFmtId="0" fontId="3" fillId="14" borderId="5" xfId="0" applyFont="1" applyFill="1" applyBorder="1" applyAlignment="1">
      <alignment wrapText="1"/>
    </xf>
    <xf numFmtId="0" fontId="0" fillId="14" borderId="7" xfId="0" applyFont="1" applyFill="1" applyBorder="1" applyAlignment="1">
      <alignment wrapText="1"/>
    </xf>
    <xf numFmtId="0" fontId="0" fillId="14" borderId="7" xfId="0" applyFill="1" applyBorder="1"/>
    <xf numFmtId="0" fontId="0" fillId="14" borderId="8" xfId="0" applyFill="1" applyBorder="1"/>
    <xf numFmtId="0" fontId="12" fillId="9" borderId="5" xfId="0" applyFont="1" applyFill="1" applyBorder="1" applyAlignment="1">
      <alignment vertical="center" wrapText="1"/>
    </xf>
    <xf numFmtId="0" fontId="11" fillId="9" borderId="7" xfId="0" applyFont="1" applyFill="1" applyBorder="1" applyAlignment="1">
      <alignment vertical="center" wrapText="1"/>
    </xf>
    <xf numFmtId="0" fontId="11" fillId="9" borderId="8" xfId="0" applyFont="1" applyFill="1" applyBorder="1" applyAlignment="1">
      <alignment vertical="center" wrapText="1"/>
    </xf>
    <xf numFmtId="0" fontId="3" fillId="15" borderId="1" xfId="0" applyFont="1" applyFill="1" applyBorder="1" applyAlignment="1">
      <alignment wrapText="1"/>
    </xf>
    <xf numFmtId="0" fontId="3" fillId="21" borderId="5" xfId="0" applyFont="1" applyFill="1" applyBorder="1" applyAlignment="1">
      <alignment wrapText="1"/>
    </xf>
    <xf numFmtId="0" fontId="1" fillId="7" borderId="1" xfId="0" applyFont="1" applyFill="1" applyBorder="1" applyAlignment="1">
      <alignment wrapText="1"/>
    </xf>
    <xf numFmtId="0" fontId="13" fillId="0" borderId="0" xfId="0" applyFont="1"/>
    <xf numFmtId="0" fontId="4" fillId="0" borderId="0" xfId="0" applyFont="1"/>
    <xf numFmtId="0" fontId="1" fillId="22" borderId="1" xfId="0" applyFont="1" applyFill="1" applyBorder="1"/>
    <xf numFmtId="0" fontId="1" fillId="22" borderId="1" xfId="0" applyFont="1" applyFill="1" applyBorder="1" applyAlignment="1">
      <alignment wrapText="1"/>
    </xf>
    <xf numFmtId="165" fontId="1" fillId="22" borderId="1" xfId="1" quotePrefix="1" applyNumberFormat="1" applyFont="1" applyFill="1" applyBorder="1" applyAlignment="1">
      <alignment horizontal="center" wrapText="1"/>
    </xf>
    <xf numFmtId="165" fontId="1" fillId="22" borderId="1" xfId="1" quotePrefix="1" applyNumberFormat="1" applyFont="1" applyFill="1" applyBorder="1" applyAlignment="1">
      <alignment wrapText="1"/>
    </xf>
    <xf numFmtId="165" fontId="1" fillId="22" borderId="5" xfId="1" quotePrefix="1" applyNumberFormat="1" applyFont="1" applyFill="1" applyBorder="1" applyAlignment="1">
      <alignment wrapText="1"/>
    </xf>
    <xf numFmtId="165" fontId="0" fillId="0" borderId="5" xfId="1" applyNumberFormat="1" applyFont="1" applyBorder="1" applyAlignment="1">
      <alignment wrapText="1"/>
    </xf>
    <xf numFmtId="165" fontId="0" fillId="0" borderId="9" xfId="1" applyNumberFormat="1" applyFont="1" applyBorder="1"/>
    <xf numFmtId="165" fontId="0" fillId="0" borderId="1" xfId="0" applyNumberFormat="1" applyBorder="1"/>
    <xf numFmtId="165" fontId="1" fillId="23" borderId="1" xfId="1" quotePrefix="1" applyNumberFormat="1" applyFont="1" applyFill="1" applyBorder="1" applyAlignment="1">
      <alignment wrapText="1"/>
    </xf>
    <xf numFmtId="0" fontId="1" fillId="4" borderId="1" xfId="0" applyFont="1" applyFill="1" applyBorder="1" applyAlignment="1">
      <alignment wrapText="1"/>
    </xf>
    <xf numFmtId="165" fontId="1" fillId="4" borderId="1" xfId="1" applyNumberFormat="1" applyFont="1" applyFill="1" applyBorder="1" applyAlignment="1">
      <alignment wrapText="1"/>
    </xf>
    <xf numFmtId="165" fontId="1" fillId="4" borderId="1" xfId="1" applyNumberFormat="1" applyFont="1" applyFill="1" applyBorder="1"/>
    <xf numFmtId="165" fontId="1" fillId="4" borderId="5" xfId="1" applyNumberFormat="1" applyFont="1" applyFill="1" applyBorder="1"/>
    <xf numFmtId="0" fontId="0" fillId="5" borderId="0" xfId="0" applyFill="1"/>
    <xf numFmtId="0" fontId="1" fillId="13" borderId="3" xfId="0" applyFont="1" applyFill="1" applyBorder="1" applyAlignment="1">
      <alignment wrapText="1"/>
    </xf>
    <xf numFmtId="165" fontId="1" fillId="13" borderId="3" xfId="1" applyNumberFormat="1" applyFont="1" applyFill="1" applyBorder="1" applyAlignment="1">
      <alignment wrapText="1"/>
    </xf>
    <xf numFmtId="43" fontId="1" fillId="13" borderId="3" xfId="1" applyFont="1" applyFill="1" applyBorder="1" applyAlignment="1">
      <alignment wrapText="1"/>
    </xf>
    <xf numFmtId="165" fontId="1" fillId="13" borderId="6" xfId="1" applyNumberFormat="1" applyFont="1" applyFill="1" applyBorder="1" applyAlignment="1">
      <alignment wrapText="1"/>
    </xf>
    <xf numFmtId="165" fontId="0" fillId="13" borderId="3" xfId="1" applyNumberFormat="1" applyFont="1" applyFill="1" applyBorder="1"/>
    <xf numFmtId="43" fontId="0" fillId="0" borderId="1" xfId="1" applyNumberFormat="1" applyFont="1" applyBorder="1"/>
    <xf numFmtId="165" fontId="0" fillId="0" borderId="0" xfId="0" applyNumberFormat="1"/>
    <xf numFmtId="165" fontId="1" fillId="9" borderId="10" xfId="1" applyNumberFormat="1" applyFont="1" applyFill="1" applyBorder="1" applyAlignment="1">
      <alignment wrapText="1"/>
    </xf>
    <xf numFmtId="43" fontId="1" fillId="13" borderId="1" xfId="1" applyFont="1" applyFill="1" applyBorder="1" applyAlignment="1">
      <alignment wrapText="1"/>
    </xf>
    <xf numFmtId="0" fontId="0" fillId="0" borderId="5" xfId="0" applyFont="1" applyBorder="1" applyAlignment="1">
      <alignment wrapText="1"/>
    </xf>
    <xf numFmtId="0" fontId="1" fillId="13" borderId="6" xfId="0" applyFont="1" applyFill="1" applyBorder="1" applyAlignment="1">
      <alignment wrapText="1"/>
    </xf>
    <xf numFmtId="0" fontId="0" fillId="0" borderId="6" xfId="0" applyFont="1" applyBorder="1" applyAlignment="1">
      <alignment horizontal="left"/>
    </xf>
    <xf numFmtId="0" fontId="0" fillId="0" borderId="5" xfId="0" applyFont="1" applyBorder="1" applyAlignment="1">
      <alignment horizontal="left" wrapText="1"/>
    </xf>
    <xf numFmtId="0" fontId="1" fillId="0" borderId="5" xfId="0" applyFont="1" applyBorder="1" applyAlignment="1">
      <alignment wrapText="1"/>
    </xf>
    <xf numFmtId="0" fontId="6" fillId="11" borderId="5" xfId="0" applyFont="1" applyFill="1" applyBorder="1" applyAlignment="1">
      <alignment wrapText="1"/>
    </xf>
    <xf numFmtId="0" fontId="6" fillId="5" borderId="5" xfId="0" applyFont="1" applyFill="1" applyBorder="1" applyAlignment="1">
      <alignment wrapText="1"/>
    </xf>
    <xf numFmtId="0" fontId="0" fillId="0" borderId="5" xfId="0" applyBorder="1"/>
    <xf numFmtId="0" fontId="1" fillId="0" borderId="0" xfId="0" applyFont="1"/>
    <xf numFmtId="0" fontId="14" fillId="0" borderId="0" xfId="0" applyFont="1"/>
    <xf numFmtId="164" fontId="0" fillId="0" borderId="0" xfId="1" applyNumberFormat="1" applyFont="1"/>
    <xf numFmtId="165" fontId="0" fillId="0" borderId="0" xfId="1" applyNumberFormat="1" applyFont="1" applyBorder="1"/>
    <xf numFmtId="165" fontId="1" fillId="23" borderId="1" xfId="1" applyNumberFormat="1" applyFont="1" applyFill="1" applyBorder="1" applyAlignment="1">
      <alignment wrapText="1"/>
    </xf>
    <xf numFmtId="165" fontId="1" fillId="9" borderId="1" xfId="1" quotePrefix="1" applyNumberFormat="1" applyFont="1" applyFill="1" applyBorder="1" applyAlignment="1">
      <alignment wrapText="1"/>
    </xf>
    <xf numFmtId="14" fontId="0" fillId="0" borderId="0" xfId="0" applyNumberFormat="1"/>
    <xf numFmtId="0" fontId="1" fillId="0" borderId="1" xfId="0" applyFont="1" applyBorder="1" applyAlignment="1">
      <alignment horizontal="center"/>
    </xf>
    <xf numFmtId="0" fontId="1" fillId="0" borderId="1"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colors>
    <mruColors>
      <color rgb="FFC7ACD6"/>
      <color rgb="FFE1F3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8"/>
  <sheetViews>
    <sheetView workbookViewId="0">
      <selection activeCell="A5" sqref="A5:A32"/>
    </sheetView>
  </sheetViews>
  <sheetFormatPr defaultRowHeight="14.5" x14ac:dyDescent="0.35"/>
  <cols>
    <col min="1" max="1" width="31" style="10" customWidth="1"/>
    <col min="2" max="2" width="29.26953125" customWidth="1"/>
  </cols>
  <sheetData>
    <row r="1" spans="1:26" ht="29" x14ac:dyDescent="0.35">
      <c r="A1" s="9" t="s">
        <v>0</v>
      </c>
    </row>
    <row r="2" spans="1:26" x14ac:dyDescent="0.35">
      <c r="C2" s="178" t="s">
        <v>15</v>
      </c>
      <c r="D2" s="178"/>
      <c r="E2" s="178"/>
      <c r="F2" s="178"/>
      <c r="G2" s="178"/>
      <c r="H2" s="178"/>
      <c r="I2" s="178"/>
      <c r="J2" s="178"/>
      <c r="K2" s="178"/>
      <c r="L2" s="178"/>
      <c r="M2" s="178"/>
      <c r="N2" s="178"/>
      <c r="O2" s="178" t="s">
        <v>16</v>
      </c>
      <c r="P2" s="178"/>
      <c r="Q2" s="178"/>
      <c r="R2" s="178"/>
      <c r="S2" s="178"/>
      <c r="T2" s="178"/>
      <c r="U2" s="178"/>
      <c r="V2" s="178"/>
      <c r="W2" s="178"/>
      <c r="X2" s="178"/>
      <c r="Y2" s="178"/>
      <c r="Z2" s="178"/>
    </row>
    <row r="3" spans="1:26" x14ac:dyDescent="0.35">
      <c r="A3" s="11"/>
      <c r="B3" s="3"/>
      <c r="C3" s="1" t="s">
        <v>2</v>
      </c>
      <c r="D3" s="1" t="s">
        <v>3</v>
      </c>
      <c r="E3" s="1" t="s">
        <v>4</v>
      </c>
      <c r="F3" s="1" t="s">
        <v>5</v>
      </c>
      <c r="G3" s="1" t="s">
        <v>6</v>
      </c>
      <c r="H3" s="1" t="s">
        <v>7</v>
      </c>
      <c r="I3" s="1" t="s">
        <v>8</v>
      </c>
      <c r="J3" s="1" t="s">
        <v>9</v>
      </c>
      <c r="K3" s="1" t="s">
        <v>10</v>
      </c>
      <c r="L3" s="1" t="s">
        <v>11</v>
      </c>
      <c r="M3" s="1" t="s">
        <v>12</v>
      </c>
      <c r="N3" s="1" t="s">
        <v>13</v>
      </c>
      <c r="O3" s="1" t="s">
        <v>14</v>
      </c>
      <c r="P3" s="1" t="s">
        <v>3</v>
      </c>
      <c r="Q3" s="1" t="s">
        <v>4</v>
      </c>
      <c r="R3" s="1" t="s">
        <v>5</v>
      </c>
      <c r="S3" s="1" t="s">
        <v>6</v>
      </c>
      <c r="T3" s="1" t="s">
        <v>7</v>
      </c>
      <c r="U3" s="1" t="s">
        <v>8</v>
      </c>
      <c r="V3" s="1" t="s">
        <v>9</v>
      </c>
      <c r="W3" s="1" t="s">
        <v>10</v>
      </c>
      <c r="X3" s="1" t="s">
        <v>11</v>
      </c>
      <c r="Y3" s="1" t="s">
        <v>12</v>
      </c>
      <c r="Z3" s="1" t="s">
        <v>13</v>
      </c>
    </row>
    <row r="4" spans="1:26" x14ac:dyDescent="0.35">
      <c r="A4" s="4" t="s">
        <v>17</v>
      </c>
      <c r="B4" s="2" t="s">
        <v>1</v>
      </c>
      <c r="C4" s="1"/>
      <c r="D4" s="1"/>
      <c r="E4" s="1"/>
      <c r="F4" s="1"/>
      <c r="G4" s="1"/>
      <c r="H4" s="1"/>
      <c r="I4" s="1"/>
      <c r="J4" s="1"/>
      <c r="K4" s="1"/>
      <c r="L4" s="1"/>
      <c r="M4" s="1"/>
      <c r="N4" s="1"/>
      <c r="O4" s="1"/>
      <c r="P4" s="1"/>
      <c r="Q4" s="1"/>
      <c r="R4" s="1"/>
      <c r="S4" s="1"/>
      <c r="T4" s="1"/>
      <c r="U4" s="1"/>
      <c r="V4" s="1"/>
      <c r="W4" s="1"/>
      <c r="X4" s="1"/>
      <c r="Y4" s="1"/>
      <c r="Z4" s="1"/>
    </row>
    <row r="5" spans="1:26" x14ac:dyDescent="0.35">
      <c r="A5" s="4" t="s">
        <v>18</v>
      </c>
      <c r="B5" s="1" t="s">
        <v>19</v>
      </c>
      <c r="C5" s="7"/>
      <c r="D5" s="1"/>
      <c r="E5" s="1"/>
      <c r="F5" s="1"/>
      <c r="G5" s="1"/>
      <c r="H5" s="1"/>
      <c r="I5" s="1"/>
      <c r="J5" s="1"/>
      <c r="K5" s="1"/>
      <c r="L5" s="1"/>
      <c r="M5" s="1"/>
      <c r="N5" s="1"/>
      <c r="O5" s="1"/>
      <c r="P5" s="1"/>
      <c r="Q5" s="1"/>
      <c r="R5" s="1"/>
      <c r="S5" s="1"/>
      <c r="T5" s="1"/>
      <c r="U5" s="1"/>
      <c r="V5" s="1"/>
      <c r="W5" s="1"/>
      <c r="X5" s="1"/>
      <c r="Y5" s="1"/>
      <c r="Z5" s="1"/>
    </row>
    <row r="6" spans="1:26" x14ac:dyDescent="0.35">
      <c r="A6" s="4"/>
      <c r="B6" s="1" t="s">
        <v>20</v>
      </c>
      <c r="C6" s="1"/>
      <c r="D6" s="1"/>
      <c r="E6" s="1"/>
      <c r="F6" s="1"/>
      <c r="G6" s="1"/>
      <c r="H6" s="1"/>
      <c r="I6" s="1"/>
      <c r="J6" s="1"/>
      <c r="K6" s="1"/>
      <c r="L6" s="1"/>
      <c r="M6" s="1"/>
      <c r="N6" s="1"/>
      <c r="O6" s="1"/>
      <c r="P6" s="1"/>
      <c r="Q6" s="1"/>
      <c r="R6" s="1"/>
      <c r="S6" s="1"/>
      <c r="T6" s="1"/>
      <c r="U6" s="1"/>
      <c r="V6" s="1"/>
      <c r="W6" s="1"/>
      <c r="X6" s="1"/>
      <c r="Y6" s="7"/>
      <c r="Z6" s="1"/>
    </row>
    <row r="7" spans="1:26" x14ac:dyDescent="0.35">
      <c r="A7" s="4"/>
      <c r="B7" s="1" t="s">
        <v>21</v>
      </c>
      <c r="C7" s="1"/>
      <c r="D7" s="1"/>
      <c r="E7" s="1"/>
      <c r="F7" s="1"/>
      <c r="G7" s="1"/>
      <c r="H7" s="1"/>
      <c r="I7" s="1"/>
      <c r="J7" s="1"/>
      <c r="K7" s="1"/>
      <c r="L7" s="1"/>
      <c r="M7" s="1"/>
      <c r="N7" s="1"/>
      <c r="O7" s="1"/>
      <c r="P7" s="1"/>
      <c r="Q7" s="1"/>
      <c r="R7" s="1"/>
      <c r="S7" s="1"/>
      <c r="T7" s="1"/>
      <c r="U7" s="1"/>
      <c r="V7" s="1"/>
      <c r="W7" s="1"/>
      <c r="X7" s="1"/>
      <c r="Y7" s="1"/>
      <c r="Z7" s="1"/>
    </row>
    <row r="8" spans="1:26" x14ac:dyDescent="0.35">
      <c r="A8" s="4"/>
      <c r="B8" s="1" t="s">
        <v>23</v>
      </c>
      <c r="C8" s="1"/>
      <c r="D8" s="1"/>
      <c r="E8" s="1"/>
      <c r="F8" s="1"/>
      <c r="G8" s="1"/>
      <c r="H8" s="1"/>
      <c r="I8" s="1"/>
      <c r="J8" s="1"/>
      <c r="K8" s="1"/>
      <c r="L8" s="1"/>
      <c r="M8" s="1"/>
      <c r="N8" s="1"/>
      <c r="O8" s="1"/>
      <c r="P8" s="1"/>
      <c r="Q8" s="1"/>
      <c r="R8" s="1"/>
      <c r="S8" s="1"/>
      <c r="T8" s="1"/>
      <c r="U8" s="1"/>
      <c r="V8" s="1"/>
      <c r="W8" s="1"/>
      <c r="X8" s="1"/>
      <c r="Y8" s="1"/>
      <c r="Z8" s="1"/>
    </row>
    <row r="9" spans="1:26" x14ac:dyDescent="0.35">
      <c r="A9" s="4" t="s">
        <v>22</v>
      </c>
      <c r="B9" s="1" t="s">
        <v>19</v>
      </c>
      <c r="C9" s="6"/>
      <c r="D9" s="1"/>
      <c r="E9" s="1"/>
      <c r="F9" s="1"/>
      <c r="G9" s="1"/>
      <c r="H9" s="1"/>
      <c r="I9" s="1"/>
      <c r="J9" s="1"/>
      <c r="K9" s="1"/>
      <c r="L9" s="1"/>
      <c r="M9" s="1"/>
      <c r="N9" s="1"/>
      <c r="O9" s="1"/>
      <c r="P9" s="1"/>
      <c r="Q9" s="1"/>
      <c r="R9" s="1"/>
      <c r="S9" s="1"/>
      <c r="T9" s="1"/>
      <c r="U9" s="1"/>
      <c r="V9" s="1"/>
      <c r="W9" s="1"/>
      <c r="X9" s="1"/>
      <c r="Y9" s="1"/>
      <c r="Z9" s="1"/>
    </row>
    <row r="10" spans="1:26" x14ac:dyDescent="0.35">
      <c r="A10" s="4"/>
      <c r="B10" s="1" t="s">
        <v>20</v>
      </c>
      <c r="C10" s="1"/>
      <c r="D10" s="1"/>
      <c r="E10" s="1"/>
      <c r="F10" s="1"/>
      <c r="G10" s="1"/>
      <c r="H10" s="1"/>
      <c r="I10" s="1"/>
      <c r="J10" s="1"/>
      <c r="K10" s="1"/>
      <c r="L10" s="1"/>
      <c r="M10" s="1"/>
      <c r="N10" s="1"/>
      <c r="O10" s="1"/>
      <c r="P10" s="1"/>
      <c r="Q10" s="1"/>
      <c r="R10" s="1"/>
      <c r="S10" s="1"/>
      <c r="T10" s="1"/>
      <c r="U10" s="1"/>
      <c r="V10" s="1"/>
      <c r="W10" s="1"/>
      <c r="X10" s="1"/>
      <c r="Y10" s="1"/>
      <c r="Z10" s="1"/>
    </row>
    <row r="11" spans="1:26" x14ac:dyDescent="0.35">
      <c r="A11" s="4"/>
      <c r="B11" s="1" t="s">
        <v>21</v>
      </c>
      <c r="C11" s="1"/>
      <c r="D11" s="1"/>
      <c r="E11" s="1"/>
      <c r="F11" s="1"/>
      <c r="G11" s="1"/>
      <c r="H11" s="1"/>
      <c r="I11" s="1"/>
      <c r="J11" s="1"/>
      <c r="K11" s="1"/>
      <c r="L11" s="5"/>
      <c r="M11" s="1"/>
      <c r="N11" s="1"/>
      <c r="O11" s="1"/>
      <c r="P11" s="1"/>
      <c r="Q11" s="1"/>
      <c r="R11" s="1"/>
      <c r="S11" s="1"/>
      <c r="T11" s="8"/>
      <c r="U11" s="1"/>
      <c r="V11" s="1"/>
      <c r="W11" s="1"/>
      <c r="X11" s="1"/>
      <c r="Y11" s="1"/>
      <c r="Z11" s="1"/>
    </row>
    <row r="12" spans="1:26" x14ac:dyDescent="0.35">
      <c r="A12" s="4"/>
      <c r="B12" s="1" t="s">
        <v>23</v>
      </c>
      <c r="C12" s="1"/>
      <c r="D12" s="1"/>
      <c r="E12" s="1"/>
      <c r="F12" s="1"/>
      <c r="G12" s="1"/>
      <c r="H12" s="1"/>
      <c r="I12" s="1"/>
      <c r="J12" s="1"/>
      <c r="K12" s="1"/>
      <c r="L12" s="1"/>
      <c r="M12" s="1"/>
      <c r="N12" s="1"/>
      <c r="O12" s="1"/>
      <c r="P12" s="1"/>
      <c r="Q12" s="1"/>
      <c r="R12" s="1"/>
      <c r="S12" s="1"/>
      <c r="T12" s="5"/>
      <c r="U12" s="1"/>
      <c r="V12" s="1"/>
      <c r="W12" s="1"/>
      <c r="X12" s="1"/>
      <c r="Y12" s="1"/>
      <c r="Z12" s="1"/>
    </row>
    <row r="13" spans="1:26" x14ac:dyDescent="0.35">
      <c r="A13" s="4" t="s">
        <v>39</v>
      </c>
      <c r="B13" s="1" t="s">
        <v>30</v>
      </c>
      <c r="C13" s="1"/>
      <c r="D13" s="1"/>
      <c r="E13" s="1"/>
      <c r="F13" s="1"/>
      <c r="G13" s="1"/>
      <c r="H13" s="1"/>
      <c r="I13" s="1"/>
      <c r="J13" s="1"/>
      <c r="K13" s="1"/>
      <c r="L13" s="1"/>
      <c r="M13" s="1"/>
      <c r="N13" s="1"/>
      <c r="O13" s="1"/>
      <c r="P13" s="1"/>
      <c r="Q13" s="1"/>
      <c r="R13" s="1"/>
      <c r="S13" s="1"/>
      <c r="T13" s="1"/>
      <c r="U13" s="1"/>
      <c r="V13" s="1"/>
      <c r="W13" s="1"/>
      <c r="X13" s="1"/>
      <c r="Y13" s="1"/>
      <c r="Z13" s="1"/>
    </row>
    <row r="14" spans="1:26" x14ac:dyDescent="0.35">
      <c r="A14" s="4" t="s">
        <v>38</v>
      </c>
      <c r="B14" s="1"/>
      <c r="C14" s="1"/>
      <c r="D14" s="1"/>
      <c r="E14" s="1"/>
      <c r="F14" s="1"/>
      <c r="G14" s="1"/>
      <c r="H14" s="1"/>
      <c r="I14" s="1"/>
      <c r="J14" s="1"/>
      <c r="K14" s="1"/>
      <c r="L14" s="1"/>
      <c r="M14" s="1"/>
      <c r="N14" s="1"/>
      <c r="O14" s="1"/>
      <c r="P14" s="1"/>
      <c r="Q14" s="1"/>
      <c r="R14" s="1"/>
      <c r="S14" s="1"/>
      <c r="T14" s="1"/>
      <c r="U14" s="1"/>
      <c r="V14" s="1"/>
      <c r="W14" s="1"/>
      <c r="X14" s="1"/>
      <c r="Y14" s="1"/>
      <c r="Z14" s="1"/>
    </row>
    <row r="15" spans="1:26" ht="29" x14ac:dyDescent="0.35">
      <c r="A15" s="4" t="s">
        <v>40</v>
      </c>
      <c r="B15" s="1" t="s">
        <v>33</v>
      </c>
      <c r="C15" s="1"/>
      <c r="D15" s="1"/>
      <c r="E15" s="1"/>
      <c r="F15" s="1"/>
      <c r="G15" s="1"/>
      <c r="H15" s="1"/>
      <c r="I15" s="1"/>
      <c r="J15" s="1"/>
      <c r="K15" s="1"/>
      <c r="L15" s="1"/>
      <c r="M15" s="1"/>
      <c r="N15" s="1"/>
      <c r="O15" s="1"/>
      <c r="P15" s="1"/>
      <c r="Q15" s="1"/>
      <c r="R15" s="1"/>
      <c r="S15" s="1"/>
      <c r="T15" s="1"/>
      <c r="U15" s="1"/>
      <c r="V15" s="1"/>
      <c r="W15" s="1"/>
      <c r="X15" s="1"/>
      <c r="Y15" s="1"/>
      <c r="Z15" s="1"/>
    </row>
    <row r="16" spans="1:26" x14ac:dyDescent="0.35">
      <c r="A16" s="4" t="s">
        <v>24</v>
      </c>
      <c r="B16" s="1"/>
      <c r="C16" s="1"/>
      <c r="D16" s="1"/>
      <c r="E16" s="1"/>
      <c r="F16" s="1"/>
      <c r="G16" s="1"/>
      <c r="H16" s="1"/>
      <c r="I16" s="1"/>
      <c r="J16" s="1"/>
      <c r="K16" s="1"/>
      <c r="L16" s="1"/>
      <c r="M16" s="1"/>
      <c r="N16" s="1"/>
      <c r="O16" s="1"/>
      <c r="P16" s="1"/>
      <c r="Q16" s="1"/>
      <c r="R16" s="1"/>
      <c r="S16" s="1"/>
      <c r="T16" s="1"/>
      <c r="U16" s="1"/>
      <c r="V16" s="1"/>
      <c r="W16" s="1"/>
      <c r="X16" s="1"/>
      <c r="Y16" s="1"/>
      <c r="Z16" s="1"/>
    </row>
    <row r="17" spans="1:26" ht="29" x14ac:dyDescent="0.35">
      <c r="A17" s="4" t="s">
        <v>25</v>
      </c>
      <c r="B17" s="1"/>
      <c r="C17" s="1"/>
      <c r="D17" s="1"/>
      <c r="E17" s="1"/>
      <c r="F17" s="1"/>
      <c r="G17" s="1"/>
      <c r="H17" s="1"/>
      <c r="I17" s="1"/>
      <c r="J17" s="1"/>
      <c r="K17" s="1"/>
      <c r="L17" s="1"/>
      <c r="M17" s="1"/>
      <c r="N17" s="1"/>
      <c r="O17" s="1"/>
      <c r="P17" s="1"/>
      <c r="Q17" s="1"/>
      <c r="R17" s="1"/>
      <c r="S17" s="1"/>
      <c r="T17" s="1"/>
      <c r="U17" s="1"/>
      <c r="V17" s="1"/>
      <c r="W17" s="1"/>
      <c r="X17" s="1"/>
      <c r="Y17" s="1"/>
      <c r="Z17" s="1"/>
    </row>
    <row r="18" spans="1:26" x14ac:dyDescent="0.35">
      <c r="A18" s="4" t="s">
        <v>26</v>
      </c>
      <c r="B18" s="1"/>
      <c r="C18" s="1"/>
      <c r="D18" s="1"/>
      <c r="E18" s="1"/>
      <c r="F18" s="1"/>
      <c r="G18" s="1"/>
      <c r="H18" s="1"/>
      <c r="I18" s="1"/>
      <c r="J18" s="1"/>
      <c r="K18" s="1"/>
      <c r="L18" s="1"/>
      <c r="M18" s="1"/>
      <c r="N18" s="1"/>
      <c r="O18" s="1"/>
      <c r="P18" s="1"/>
      <c r="Q18" s="1"/>
      <c r="R18" s="1"/>
      <c r="S18" s="1"/>
      <c r="T18" s="1"/>
      <c r="U18" s="1"/>
      <c r="V18" s="1"/>
      <c r="W18" s="1"/>
      <c r="X18" s="1"/>
      <c r="Y18" s="1"/>
      <c r="Z18" s="1"/>
    </row>
    <row r="19" spans="1:26" ht="29" x14ac:dyDescent="0.35">
      <c r="A19" s="4" t="s">
        <v>27</v>
      </c>
      <c r="B19" s="1"/>
      <c r="C19" s="1"/>
      <c r="D19" s="1"/>
      <c r="E19" s="1"/>
      <c r="F19" s="1"/>
      <c r="G19" s="1"/>
      <c r="H19" s="1"/>
      <c r="I19" s="1"/>
      <c r="J19" s="1"/>
      <c r="K19" s="1"/>
      <c r="L19" s="1"/>
      <c r="M19" s="1"/>
      <c r="N19" s="1"/>
      <c r="O19" s="1"/>
      <c r="P19" s="1"/>
      <c r="Q19" s="1"/>
      <c r="R19" s="1"/>
      <c r="S19" s="1"/>
      <c r="T19" s="1"/>
      <c r="U19" s="1"/>
      <c r="V19" s="1"/>
      <c r="W19" s="1"/>
      <c r="X19" s="1"/>
      <c r="Y19" s="1"/>
      <c r="Z19" s="1"/>
    </row>
    <row r="20" spans="1:26" x14ac:dyDescent="0.35">
      <c r="A20" s="4" t="s">
        <v>41</v>
      </c>
      <c r="B20" s="1" t="s">
        <v>31</v>
      </c>
      <c r="C20" s="1"/>
      <c r="D20" s="1"/>
      <c r="E20" s="1"/>
      <c r="F20" s="1"/>
      <c r="G20" s="1"/>
      <c r="H20" s="1"/>
      <c r="I20" s="1"/>
      <c r="J20" s="1"/>
      <c r="K20" s="1"/>
      <c r="L20" s="1"/>
      <c r="M20" s="1"/>
      <c r="N20" s="1"/>
      <c r="O20" s="1"/>
      <c r="P20" s="1"/>
      <c r="Q20" s="1"/>
      <c r="R20" s="1"/>
      <c r="S20" s="1"/>
      <c r="T20" s="1"/>
      <c r="U20" s="1"/>
      <c r="V20" s="1"/>
      <c r="W20" s="1"/>
      <c r="X20" s="1"/>
      <c r="Y20" s="1"/>
      <c r="Z20" s="1"/>
    </row>
    <row r="21" spans="1:26" ht="29" x14ac:dyDescent="0.35">
      <c r="A21" s="4" t="s">
        <v>28</v>
      </c>
      <c r="B21" s="1"/>
      <c r="C21" s="1"/>
      <c r="D21" s="1"/>
      <c r="E21" s="1"/>
      <c r="F21" s="1"/>
      <c r="G21" s="1"/>
      <c r="H21" s="1"/>
      <c r="I21" s="1"/>
      <c r="J21" s="1"/>
      <c r="K21" s="1"/>
      <c r="L21" s="1"/>
      <c r="M21" s="1"/>
      <c r="N21" s="1"/>
      <c r="O21" s="1"/>
      <c r="P21" s="1"/>
      <c r="Q21" s="1"/>
      <c r="R21" s="1"/>
      <c r="S21" s="1"/>
      <c r="T21" s="1"/>
      <c r="U21" s="1"/>
      <c r="V21" s="1"/>
      <c r="W21" s="1"/>
      <c r="X21" s="1"/>
      <c r="Y21" s="1"/>
      <c r="Z21" s="1"/>
    </row>
    <row r="22" spans="1:26" x14ac:dyDescent="0.35">
      <c r="A22" s="4" t="s">
        <v>42</v>
      </c>
      <c r="B22" s="1"/>
      <c r="C22" s="1"/>
      <c r="D22" s="1"/>
      <c r="E22" s="1"/>
      <c r="F22" s="1"/>
      <c r="G22" s="1"/>
      <c r="H22" s="1"/>
      <c r="I22" s="1"/>
      <c r="J22" s="1"/>
      <c r="K22" s="1"/>
      <c r="L22" s="1"/>
      <c r="M22" s="1"/>
      <c r="N22" s="1"/>
      <c r="O22" s="1"/>
      <c r="P22" s="1"/>
      <c r="Q22" s="1"/>
      <c r="R22" s="1"/>
      <c r="S22" s="1"/>
      <c r="T22" s="1"/>
      <c r="U22" s="1"/>
      <c r="V22" s="1"/>
      <c r="W22" s="1"/>
      <c r="X22" s="1"/>
      <c r="Y22" s="1"/>
      <c r="Z22" s="1"/>
    </row>
    <row r="23" spans="1:26" ht="30" customHeight="1" x14ac:dyDescent="0.35">
      <c r="A23" s="179" t="s">
        <v>37</v>
      </c>
      <c r="B23" s="1" t="s">
        <v>32</v>
      </c>
      <c r="C23" s="1"/>
      <c r="D23" s="1"/>
      <c r="E23" s="1"/>
      <c r="F23" s="1"/>
      <c r="G23" s="1"/>
      <c r="H23" s="1"/>
      <c r="I23" s="1"/>
      <c r="J23" s="1"/>
      <c r="K23" s="1"/>
      <c r="L23" s="1"/>
      <c r="M23" s="1"/>
      <c r="N23" s="1"/>
      <c r="O23" s="1"/>
      <c r="P23" s="1"/>
      <c r="Q23" s="1"/>
      <c r="R23" s="1"/>
      <c r="S23" s="1"/>
      <c r="T23" s="1"/>
      <c r="U23" s="1"/>
      <c r="V23" s="1"/>
      <c r="W23" s="1"/>
      <c r="X23" s="1"/>
      <c r="Y23" s="1"/>
      <c r="Z23" s="1"/>
    </row>
    <row r="24" spans="1:26" x14ac:dyDescent="0.35">
      <c r="A24" s="179"/>
      <c r="B24" s="1"/>
      <c r="C24" s="1"/>
      <c r="D24" s="1"/>
      <c r="E24" s="1"/>
      <c r="F24" s="1"/>
      <c r="G24" s="1"/>
      <c r="H24" s="1"/>
      <c r="I24" s="1"/>
      <c r="J24" s="1"/>
      <c r="K24" s="1"/>
      <c r="L24" s="1"/>
      <c r="M24" s="1"/>
      <c r="N24" s="1"/>
      <c r="O24" s="1"/>
      <c r="P24" s="1"/>
      <c r="Q24" s="1"/>
      <c r="R24" s="1"/>
      <c r="S24" s="1"/>
      <c r="T24" s="1"/>
      <c r="U24" s="1"/>
      <c r="V24" s="1"/>
      <c r="W24" s="1"/>
      <c r="X24" s="1"/>
      <c r="Y24" s="1"/>
      <c r="Z24" s="1"/>
    </row>
    <row r="25" spans="1:26" x14ac:dyDescent="0.35">
      <c r="A25" s="180" t="s">
        <v>36</v>
      </c>
      <c r="B25" s="1" t="s">
        <v>32</v>
      </c>
      <c r="C25" s="1"/>
      <c r="D25" s="1"/>
      <c r="E25" s="1"/>
      <c r="F25" s="1"/>
      <c r="G25" s="1"/>
      <c r="H25" s="1"/>
      <c r="I25" s="1"/>
      <c r="J25" s="1"/>
      <c r="K25" s="1"/>
      <c r="L25" s="1"/>
      <c r="M25" s="1"/>
      <c r="N25" s="1"/>
      <c r="O25" s="1"/>
      <c r="P25" s="1"/>
      <c r="Q25" s="1"/>
      <c r="R25" s="1"/>
      <c r="S25" s="1"/>
      <c r="T25" s="1"/>
      <c r="U25" s="1"/>
      <c r="V25" s="1"/>
      <c r="W25" s="1"/>
      <c r="X25" s="1"/>
      <c r="Y25" s="1"/>
      <c r="Z25" s="1"/>
    </row>
    <row r="26" spans="1:26" x14ac:dyDescent="0.35">
      <c r="A26" s="181"/>
      <c r="B26" s="1" t="s">
        <v>34</v>
      </c>
      <c r="C26" s="1"/>
      <c r="D26" s="1"/>
      <c r="E26" s="1"/>
      <c r="F26" s="1"/>
      <c r="G26" s="1"/>
      <c r="H26" s="1"/>
      <c r="I26" s="1"/>
      <c r="J26" s="1"/>
      <c r="K26" s="1"/>
      <c r="L26" s="1"/>
      <c r="M26" s="1"/>
      <c r="N26" s="1"/>
      <c r="O26" s="1"/>
      <c r="P26" s="1"/>
      <c r="Q26" s="1"/>
      <c r="R26" s="1"/>
      <c r="S26" s="1"/>
      <c r="T26" s="1"/>
      <c r="U26" s="1"/>
      <c r="V26" s="1"/>
      <c r="W26" s="1"/>
      <c r="X26" s="1"/>
      <c r="Y26" s="1"/>
      <c r="Z26" s="1"/>
    </row>
    <row r="27" spans="1:26" ht="29" x14ac:dyDescent="0.35">
      <c r="A27" s="4" t="s">
        <v>35</v>
      </c>
      <c r="B27" s="1"/>
      <c r="C27" s="1"/>
      <c r="D27" s="1"/>
      <c r="E27" s="1"/>
      <c r="F27" s="1"/>
      <c r="G27" s="1"/>
      <c r="H27" s="1"/>
      <c r="I27" s="1"/>
      <c r="J27" s="1"/>
      <c r="K27" s="1"/>
      <c r="L27" s="1"/>
      <c r="M27" s="1"/>
      <c r="N27" s="1"/>
      <c r="O27" s="1"/>
      <c r="P27" s="1"/>
      <c r="Q27" s="1"/>
      <c r="R27" s="1"/>
      <c r="S27" s="1"/>
      <c r="T27" s="1"/>
      <c r="U27" s="1"/>
      <c r="V27" s="1"/>
      <c r="W27" s="1"/>
      <c r="X27" s="1"/>
      <c r="Y27" s="1"/>
      <c r="Z27" s="1"/>
    </row>
    <row r="28" spans="1:26" x14ac:dyDescent="0.35">
      <c r="A28" s="4" t="s">
        <v>46</v>
      </c>
      <c r="C28" s="1"/>
      <c r="D28" s="1"/>
      <c r="E28" s="1"/>
      <c r="F28" s="1"/>
      <c r="G28" s="1"/>
      <c r="H28" s="1"/>
      <c r="I28" s="1"/>
      <c r="J28" s="1"/>
      <c r="K28" s="1"/>
      <c r="L28" s="1"/>
      <c r="M28" s="1"/>
      <c r="N28" s="1"/>
      <c r="O28" s="1"/>
      <c r="P28" s="1"/>
      <c r="Q28" s="1"/>
      <c r="R28" s="1"/>
      <c r="S28" s="1"/>
      <c r="T28" s="1"/>
      <c r="U28" s="1"/>
      <c r="V28" s="1"/>
      <c r="W28" s="1"/>
      <c r="X28" s="1"/>
      <c r="Y28" s="1"/>
      <c r="Z28" s="1"/>
    </row>
    <row r="29" spans="1:26" x14ac:dyDescent="0.35">
      <c r="B29" s="1"/>
      <c r="C29" s="1"/>
      <c r="D29" s="1"/>
      <c r="E29" s="1"/>
      <c r="F29" s="1"/>
      <c r="G29" s="1"/>
      <c r="H29" s="1"/>
      <c r="I29" s="1"/>
      <c r="J29" s="1"/>
      <c r="K29" s="1"/>
      <c r="L29" s="1"/>
      <c r="M29" s="1"/>
      <c r="N29" s="1"/>
      <c r="O29" s="1"/>
      <c r="P29" s="1"/>
      <c r="Q29" s="1"/>
      <c r="R29" s="1"/>
      <c r="S29" s="1"/>
      <c r="T29" s="1"/>
      <c r="U29" s="1"/>
      <c r="V29" s="1"/>
      <c r="W29" s="1"/>
      <c r="X29" s="1"/>
      <c r="Y29" s="1"/>
      <c r="Z29" s="1"/>
    </row>
    <row r="30" spans="1:26" ht="29" x14ac:dyDescent="0.35">
      <c r="A30" s="4" t="s">
        <v>29</v>
      </c>
      <c r="B30" s="1"/>
      <c r="C30" s="1"/>
      <c r="D30" s="1"/>
      <c r="E30" s="1"/>
      <c r="F30" s="1"/>
      <c r="G30" s="1"/>
      <c r="H30" s="1"/>
      <c r="I30" s="1"/>
      <c r="J30" s="1"/>
      <c r="K30" s="1"/>
      <c r="L30" s="1"/>
      <c r="M30" s="1"/>
      <c r="N30" s="1"/>
      <c r="O30" s="1"/>
      <c r="P30" s="1"/>
      <c r="Q30" s="1"/>
      <c r="R30" s="1"/>
      <c r="S30" s="1"/>
      <c r="T30" s="1"/>
      <c r="U30" s="1"/>
      <c r="V30" s="1"/>
      <c r="W30" s="1"/>
      <c r="X30" s="1"/>
      <c r="Y30" s="1"/>
      <c r="Z30" s="1"/>
    </row>
    <row r="31" spans="1:26" ht="29" x14ac:dyDescent="0.35">
      <c r="A31" s="4" t="s">
        <v>47</v>
      </c>
      <c r="B31" s="1" t="s">
        <v>48</v>
      </c>
      <c r="C31" s="1"/>
      <c r="D31" s="1"/>
      <c r="E31" s="12"/>
      <c r="F31" s="1"/>
      <c r="G31" s="1"/>
      <c r="H31" s="1"/>
      <c r="I31" s="1"/>
      <c r="J31" s="1"/>
      <c r="K31" s="1"/>
      <c r="L31" s="1"/>
      <c r="M31" s="1"/>
      <c r="N31" s="1"/>
      <c r="O31" s="1"/>
      <c r="P31" s="1"/>
      <c r="Q31" s="1"/>
      <c r="R31" s="1"/>
      <c r="S31" s="1"/>
      <c r="T31" s="1"/>
      <c r="U31" s="1"/>
      <c r="V31" s="1"/>
      <c r="W31" s="1"/>
      <c r="X31" s="1"/>
      <c r="Y31" s="1"/>
      <c r="Z31" s="1"/>
    </row>
    <row r="32" spans="1:26" x14ac:dyDescent="0.35">
      <c r="A32" s="4" t="s">
        <v>43</v>
      </c>
      <c r="B32" s="1"/>
      <c r="C32" s="1"/>
      <c r="D32" s="1"/>
      <c r="E32" s="1"/>
      <c r="F32" s="1"/>
      <c r="G32" s="1"/>
      <c r="H32" s="1"/>
      <c r="I32" s="1"/>
      <c r="J32" s="1"/>
      <c r="K32" s="1"/>
      <c r="L32" s="1"/>
      <c r="M32" s="1"/>
      <c r="N32" s="1"/>
      <c r="O32" s="1"/>
      <c r="P32" s="1"/>
      <c r="Q32" s="1"/>
      <c r="R32" s="1"/>
      <c r="S32" s="1"/>
      <c r="T32" s="1"/>
      <c r="U32" s="1"/>
      <c r="V32" s="1"/>
      <c r="W32" s="1"/>
      <c r="X32" s="1"/>
      <c r="Y32" s="1"/>
      <c r="Z32" s="1"/>
    </row>
    <row r="33" spans="1:26" x14ac:dyDescent="0.35">
      <c r="A33" s="4" t="s">
        <v>52</v>
      </c>
      <c r="B33" s="1"/>
      <c r="C33" s="1"/>
      <c r="D33" s="1"/>
      <c r="E33" s="1"/>
      <c r="F33" s="1"/>
      <c r="G33" s="1"/>
      <c r="H33" s="1"/>
      <c r="I33" s="1"/>
      <c r="J33" s="1"/>
      <c r="K33" s="1"/>
      <c r="L33" s="1"/>
      <c r="M33" s="1"/>
      <c r="N33" s="1"/>
      <c r="O33" s="1"/>
      <c r="P33" s="1"/>
      <c r="Q33" s="1"/>
      <c r="R33" s="1"/>
      <c r="S33" s="1"/>
      <c r="T33" s="1"/>
      <c r="U33" s="1"/>
      <c r="V33" s="1"/>
      <c r="W33" s="1"/>
      <c r="X33" s="1"/>
      <c r="Y33" s="1"/>
      <c r="Z33" s="1"/>
    </row>
    <row r="34" spans="1:26" x14ac:dyDescent="0.35">
      <c r="A34" s="4" t="s">
        <v>51</v>
      </c>
      <c r="B34" s="1"/>
      <c r="C34" s="1"/>
      <c r="D34" s="1"/>
      <c r="E34" s="1"/>
      <c r="F34" s="1"/>
      <c r="G34" s="1"/>
      <c r="H34" s="1"/>
      <c r="I34" s="1"/>
      <c r="J34" s="1"/>
      <c r="K34" s="1"/>
      <c r="L34" s="1"/>
      <c r="M34" s="1"/>
      <c r="N34" s="1"/>
      <c r="O34" s="1"/>
      <c r="P34" s="1"/>
      <c r="Q34" s="1"/>
      <c r="R34" s="1"/>
      <c r="S34" s="1"/>
      <c r="T34" s="1"/>
      <c r="U34" s="1"/>
      <c r="V34" s="1"/>
      <c r="W34" s="1"/>
      <c r="X34" s="1"/>
      <c r="Y34" s="1"/>
      <c r="Z34" s="1"/>
    </row>
    <row r="35" spans="1:26" ht="27" customHeight="1" x14ac:dyDescent="0.45">
      <c r="A35" s="13" t="s">
        <v>50</v>
      </c>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x14ac:dyDescent="0.35">
      <c r="A36" s="4" t="s">
        <v>49</v>
      </c>
      <c r="B36" s="1"/>
      <c r="C36" s="1"/>
      <c r="D36" s="1"/>
      <c r="E36" s="1"/>
      <c r="F36" s="1"/>
      <c r="G36" s="1"/>
      <c r="H36" s="1"/>
      <c r="I36" s="1"/>
      <c r="J36" s="1"/>
      <c r="K36" s="1"/>
      <c r="L36" s="1"/>
      <c r="M36" s="1"/>
      <c r="N36" s="1"/>
      <c r="O36" s="1"/>
      <c r="P36" s="1"/>
      <c r="Q36" s="1"/>
      <c r="R36" s="1"/>
      <c r="S36" s="1"/>
      <c r="T36" s="1"/>
      <c r="U36" s="1"/>
      <c r="V36" s="1"/>
      <c r="W36" s="1"/>
      <c r="X36" s="1"/>
      <c r="Y36" s="1"/>
      <c r="Z36" s="1"/>
    </row>
    <row r="37" spans="1:26" x14ac:dyDescent="0.35">
      <c r="A37" s="4" t="s">
        <v>45</v>
      </c>
      <c r="B37" s="1"/>
      <c r="C37" s="1"/>
      <c r="D37" s="1"/>
      <c r="E37" s="1"/>
      <c r="F37" s="1"/>
      <c r="G37" s="1"/>
      <c r="H37" s="1"/>
      <c r="I37" s="1"/>
      <c r="J37" s="1"/>
      <c r="K37" s="1"/>
      <c r="L37" s="1"/>
      <c r="M37" s="1"/>
      <c r="N37" s="1"/>
      <c r="O37" s="1"/>
      <c r="P37" s="1"/>
      <c r="Q37" s="1"/>
      <c r="R37" s="1"/>
      <c r="S37" s="1"/>
      <c r="T37" s="1"/>
      <c r="U37" s="1"/>
      <c r="V37" s="1"/>
      <c r="W37" s="1"/>
      <c r="X37" s="1"/>
      <c r="Y37" s="1"/>
      <c r="Z37" s="1"/>
    </row>
    <row r="38" spans="1:26" x14ac:dyDescent="0.35">
      <c r="A38" s="4" t="s">
        <v>44</v>
      </c>
      <c r="B38" s="1"/>
      <c r="C38" s="1"/>
      <c r="D38" s="1"/>
      <c r="E38" s="1"/>
      <c r="F38" s="1"/>
      <c r="G38" s="1"/>
      <c r="H38" s="1"/>
      <c r="I38" s="1"/>
      <c r="J38" s="1"/>
      <c r="K38" s="1"/>
      <c r="L38" s="1"/>
      <c r="M38" s="1"/>
      <c r="N38" s="1"/>
      <c r="O38" s="1"/>
      <c r="P38" s="1"/>
      <c r="Q38" s="1"/>
      <c r="R38" s="1"/>
      <c r="S38" s="1"/>
      <c r="T38" s="1"/>
      <c r="U38" s="1"/>
      <c r="V38" s="1"/>
      <c r="W38" s="1"/>
      <c r="X38" s="1"/>
      <c r="Y38" s="1"/>
      <c r="Z38" s="1"/>
    </row>
  </sheetData>
  <mergeCells count="4">
    <mergeCell ref="C2:N2"/>
    <mergeCell ref="O2:Z2"/>
    <mergeCell ref="A23:A24"/>
    <mergeCell ref="A25:A26"/>
  </mergeCells>
  <pageMargins left="0.70866141732283472" right="0.70866141732283472" top="0.74803149606299213" bottom="0.74803149606299213" header="0.31496062992125984" footer="0.31496062992125984"/>
  <pageSetup paperSize="9" scale="6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X71"/>
  <sheetViews>
    <sheetView tabSelected="1" topLeftCell="A2" zoomScale="75" zoomScaleNormal="75" workbookViewId="0">
      <pane xSplit="4" ySplit="4" topLeftCell="G30" activePane="bottomRight" state="frozen"/>
      <selection activeCell="A2" sqref="A2"/>
      <selection pane="topRight" activeCell="E2" sqref="E2"/>
      <selection pane="bottomLeft" activeCell="A4" sqref="A4"/>
      <selection pane="bottomRight" activeCell="R45" sqref="R45"/>
    </sheetView>
  </sheetViews>
  <sheetFormatPr defaultRowHeight="14.5" x14ac:dyDescent="0.35"/>
  <cols>
    <col min="1" max="1" width="44" customWidth="1"/>
    <col min="2" max="2" width="14.1796875" style="39" customWidth="1"/>
    <col min="3" max="3" width="12.7265625" customWidth="1"/>
    <col min="4" max="4" width="14.26953125" style="39" bestFit="1" customWidth="1"/>
    <col min="5" max="5" width="12.7265625" style="39" customWidth="1"/>
    <col min="6" max="6" width="14.26953125" style="39" bestFit="1" customWidth="1"/>
    <col min="7" max="7" width="17.26953125" style="39" customWidth="1"/>
    <col min="8" max="11" width="20.7265625" style="39" hidden="1" customWidth="1"/>
    <col min="12" max="12" width="20.7265625" style="39" customWidth="1"/>
    <col min="13" max="13" width="16.81640625" style="39" bestFit="1" customWidth="1"/>
    <col min="14" max="17" width="16.81640625" style="39" customWidth="1"/>
    <col min="18" max="18" width="19.1796875" style="39" bestFit="1" customWidth="1"/>
    <col min="19" max="19" width="16.81640625" style="39" bestFit="1" customWidth="1"/>
    <col min="20" max="20" width="18.7265625" style="39" bestFit="1" customWidth="1"/>
    <col min="21" max="21" width="54" style="39" bestFit="1" customWidth="1"/>
    <col min="22" max="22" width="12.7265625" bestFit="1" customWidth="1"/>
    <col min="23" max="23" width="12.7265625" customWidth="1"/>
    <col min="24" max="24" width="13.26953125" bestFit="1" customWidth="1"/>
  </cols>
  <sheetData>
    <row r="2" spans="1:24" x14ac:dyDescent="0.35">
      <c r="A2" t="s">
        <v>212</v>
      </c>
      <c r="B2" s="177">
        <f ca="1">TODAY()</f>
        <v>44071</v>
      </c>
    </row>
    <row r="4" spans="1:24" ht="30" customHeight="1" x14ac:dyDescent="0.35">
      <c r="A4" s="16" t="s">
        <v>17</v>
      </c>
      <c r="B4" s="30" t="s">
        <v>95</v>
      </c>
      <c r="C4" s="65" t="s">
        <v>96</v>
      </c>
      <c r="D4" s="30" t="s">
        <v>53</v>
      </c>
      <c r="E4" s="30" t="s">
        <v>59</v>
      </c>
      <c r="F4" s="30" t="s">
        <v>54</v>
      </c>
      <c r="G4" s="112" t="s">
        <v>199</v>
      </c>
      <c r="H4" s="148" t="s">
        <v>128</v>
      </c>
      <c r="I4" s="148" t="s">
        <v>132</v>
      </c>
      <c r="J4" s="148" t="s">
        <v>186</v>
      </c>
      <c r="K4" s="148" t="s">
        <v>175</v>
      </c>
      <c r="L4" s="176" t="s">
        <v>198</v>
      </c>
      <c r="M4" s="30" t="s">
        <v>200</v>
      </c>
      <c r="N4" s="175" t="s">
        <v>201</v>
      </c>
      <c r="O4" s="175" t="s">
        <v>202</v>
      </c>
      <c r="P4" s="175" t="s">
        <v>203</v>
      </c>
      <c r="Q4" s="175" t="s">
        <v>204</v>
      </c>
      <c r="R4" s="30" t="s">
        <v>55</v>
      </c>
      <c r="S4" s="30" t="s">
        <v>56</v>
      </c>
      <c r="T4" s="31" t="s">
        <v>57</v>
      </c>
      <c r="U4" s="30" t="s">
        <v>77</v>
      </c>
      <c r="V4" s="161"/>
      <c r="W4" s="161"/>
      <c r="X4" s="161"/>
    </row>
    <row r="5" spans="1:24" ht="21" x14ac:dyDescent="0.5">
      <c r="A5" s="17" t="s">
        <v>61</v>
      </c>
      <c r="B5" s="74"/>
      <c r="C5" s="17"/>
      <c r="D5" s="32"/>
      <c r="E5" s="32"/>
      <c r="F5" s="32"/>
      <c r="G5" s="32"/>
      <c r="H5" s="32"/>
      <c r="I5" s="32"/>
      <c r="J5" s="32"/>
      <c r="K5" s="32"/>
      <c r="L5" s="32"/>
      <c r="M5" s="32"/>
      <c r="N5" s="32"/>
      <c r="O5" s="32"/>
      <c r="P5" s="32"/>
      <c r="Q5" s="32"/>
      <c r="R5" s="32"/>
      <c r="S5" s="32"/>
      <c r="T5" s="33"/>
      <c r="U5" s="34"/>
    </row>
    <row r="6" spans="1:24" x14ac:dyDescent="0.35">
      <c r="A6" s="57" t="s">
        <v>81</v>
      </c>
      <c r="B6" s="45"/>
      <c r="C6" s="66"/>
      <c r="D6" s="45"/>
      <c r="E6" s="45">
        <v>14520000</v>
      </c>
      <c r="F6" s="45">
        <v>45787235</v>
      </c>
      <c r="G6" s="45">
        <f>18269116-G33</f>
        <v>7920938</v>
      </c>
      <c r="H6" s="45"/>
      <c r="I6" s="45"/>
      <c r="J6" s="45"/>
      <c r="K6" s="45"/>
      <c r="L6" s="45"/>
      <c r="M6" s="45">
        <f>16015902-M33</f>
        <v>7521336</v>
      </c>
      <c r="N6" s="45"/>
      <c r="O6" s="45"/>
      <c r="P6" s="45"/>
      <c r="Q6" s="45"/>
      <c r="R6" s="45">
        <f>8234770-R33</f>
        <v>3990092</v>
      </c>
      <c r="S6" s="45">
        <f>24905206-S33</f>
        <v>4712629</v>
      </c>
      <c r="T6" s="58">
        <f>SUM(E6:S6)</f>
        <v>84452230</v>
      </c>
      <c r="U6" s="42"/>
    </row>
    <row r="7" spans="1:24" x14ac:dyDescent="0.35">
      <c r="A7" s="57" t="s">
        <v>92</v>
      </c>
      <c r="B7" s="45"/>
      <c r="C7" s="66"/>
      <c r="D7" s="45"/>
      <c r="E7" s="45">
        <v>0</v>
      </c>
      <c r="F7" s="45">
        <f>E30</f>
        <v>0</v>
      </c>
      <c r="G7" s="45">
        <f t="shared" ref="G7" si="0">F30</f>
        <v>19718528.27</v>
      </c>
      <c r="H7" s="45"/>
      <c r="I7" s="45"/>
      <c r="J7" s="45"/>
      <c r="K7" s="45"/>
      <c r="L7" s="45"/>
      <c r="M7" s="45">
        <f>G50</f>
        <v>19532763.959999997</v>
      </c>
      <c r="N7" s="45"/>
      <c r="O7" s="45"/>
      <c r="P7" s="45"/>
      <c r="Q7" s="45"/>
      <c r="R7" s="45">
        <f>M50</f>
        <v>13580925.744999994</v>
      </c>
      <c r="S7" s="45">
        <f t="shared" ref="S7" si="1">R50</f>
        <v>-8044945.1800000072</v>
      </c>
      <c r="T7" s="58"/>
      <c r="U7" s="42"/>
    </row>
    <row r="8" spans="1:24" x14ac:dyDescent="0.35">
      <c r="A8" s="59" t="s">
        <v>86</v>
      </c>
      <c r="B8" s="53"/>
      <c r="C8" s="67"/>
      <c r="D8" s="53"/>
      <c r="E8" s="53">
        <f>E7+E6</f>
        <v>14520000</v>
      </c>
      <c r="F8" s="53">
        <f t="shared" ref="F8:S8" si="2">F7+F6</f>
        <v>45787235</v>
      </c>
      <c r="G8" s="53">
        <f t="shared" si="2"/>
        <v>27639466.27</v>
      </c>
      <c r="H8" s="53"/>
      <c r="I8" s="53"/>
      <c r="J8" s="53"/>
      <c r="K8" s="53"/>
      <c r="L8" s="53"/>
      <c r="M8" s="53">
        <f>M7+M6</f>
        <v>27054099.959999997</v>
      </c>
      <c r="N8" s="53"/>
      <c r="O8" s="53"/>
      <c r="P8" s="53"/>
      <c r="Q8" s="53"/>
      <c r="R8" s="53">
        <f t="shared" si="2"/>
        <v>17571017.744999994</v>
      </c>
      <c r="S8" s="53">
        <f t="shared" si="2"/>
        <v>-3332316.1800000072</v>
      </c>
      <c r="T8" s="60"/>
      <c r="U8" s="54"/>
    </row>
    <row r="9" spans="1:24" x14ac:dyDescent="0.35">
      <c r="A9" s="154" t="s">
        <v>183</v>
      </c>
      <c r="B9" s="155"/>
      <c r="C9" s="162"/>
      <c r="D9" s="155"/>
      <c r="E9" s="155"/>
      <c r="F9" s="155"/>
      <c r="G9" s="155"/>
      <c r="H9" s="155"/>
      <c r="I9" s="155"/>
      <c r="J9" s="155"/>
      <c r="K9" s="155"/>
      <c r="L9" s="155"/>
      <c r="M9" s="155"/>
      <c r="N9" s="155"/>
      <c r="O9" s="155"/>
      <c r="P9" s="155"/>
      <c r="Q9" s="155"/>
      <c r="R9" s="155"/>
      <c r="S9" s="155"/>
      <c r="T9" s="157"/>
      <c r="U9" s="158"/>
    </row>
    <row r="10" spans="1:24" x14ac:dyDescent="0.35">
      <c r="A10" s="22" t="s">
        <v>39</v>
      </c>
      <c r="B10" s="52">
        <v>21000000</v>
      </c>
      <c r="C10" s="68">
        <f>D10/B10*100</f>
        <v>64.285714285714292</v>
      </c>
      <c r="D10" s="15">
        <v>13500000</v>
      </c>
      <c r="E10" s="15">
        <v>6287993</v>
      </c>
      <c r="F10" s="15">
        <f>7212007</f>
        <v>7212007</v>
      </c>
      <c r="G10" s="15">
        <v>0</v>
      </c>
      <c r="H10" s="15">
        <v>0</v>
      </c>
      <c r="I10" s="15">
        <v>0</v>
      </c>
      <c r="J10" s="15"/>
      <c r="K10" s="15"/>
      <c r="L10" s="15"/>
      <c r="M10" s="15">
        <v>0</v>
      </c>
      <c r="N10" s="15"/>
      <c r="O10" s="15"/>
      <c r="P10" s="15"/>
      <c r="Q10" s="15"/>
      <c r="R10" s="15">
        <v>0</v>
      </c>
      <c r="S10" s="15"/>
      <c r="T10" s="15">
        <f>SUM(E10:S10)-H10-I10-K10</f>
        <v>13500000</v>
      </c>
      <c r="U10" s="15"/>
      <c r="V10" s="160"/>
      <c r="W10" s="160"/>
    </row>
    <row r="11" spans="1:24" x14ac:dyDescent="0.35">
      <c r="A11" s="22" t="s">
        <v>41</v>
      </c>
      <c r="B11" s="52">
        <v>17382850</v>
      </c>
      <c r="C11" s="68">
        <f>D11/B11*100</f>
        <v>39.119016732008852</v>
      </c>
      <c r="D11" s="15">
        <v>6800000</v>
      </c>
      <c r="E11" s="15">
        <v>2500000</v>
      </c>
      <c r="F11" s="15">
        <v>4300000</v>
      </c>
      <c r="G11" s="15">
        <v>0</v>
      </c>
      <c r="H11" s="15"/>
      <c r="I11" s="15"/>
      <c r="J11" s="15"/>
      <c r="K11" s="15"/>
      <c r="L11" s="15"/>
      <c r="M11" s="15"/>
      <c r="N11" s="15"/>
      <c r="O11" s="15"/>
      <c r="P11" s="15"/>
      <c r="Q11" s="15"/>
      <c r="R11" s="15"/>
      <c r="S11" s="15"/>
      <c r="T11" s="15">
        <f>SUM(E11:S11)-H11-I11-K11-J11</f>
        <v>6800000</v>
      </c>
      <c r="U11" s="15"/>
      <c r="V11" s="160"/>
      <c r="W11" s="160"/>
    </row>
    <row r="12" spans="1:24" x14ac:dyDescent="0.35">
      <c r="A12" s="22" t="s">
        <v>180</v>
      </c>
      <c r="B12" s="52">
        <v>7500000</v>
      </c>
      <c r="C12" s="68">
        <f>D12/B12*100</f>
        <v>100</v>
      </c>
      <c r="D12" s="25">
        <v>7500000</v>
      </c>
      <c r="E12" s="25">
        <v>7500000</v>
      </c>
      <c r="F12" s="25"/>
      <c r="G12" s="25"/>
      <c r="H12" s="25"/>
      <c r="I12" s="25"/>
      <c r="J12" s="25"/>
      <c r="K12" s="25"/>
      <c r="L12" s="25"/>
      <c r="M12" s="25"/>
      <c r="N12" s="25"/>
      <c r="O12" s="25"/>
      <c r="P12" s="25"/>
      <c r="Q12" s="25"/>
      <c r="R12" s="25"/>
      <c r="S12" s="25"/>
      <c r="T12" s="25">
        <v>7500000</v>
      </c>
      <c r="U12" s="15"/>
      <c r="V12" s="160"/>
      <c r="W12" s="160"/>
    </row>
    <row r="13" spans="1:24" x14ac:dyDescent="0.35">
      <c r="A13" s="22" t="s">
        <v>181</v>
      </c>
      <c r="B13" s="52">
        <v>25747350</v>
      </c>
      <c r="C13" s="68">
        <f>D13/B13*100</f>
        <v>18.642695267668323</v>
      </c>
      <c r="D13" s="25">
        <v>4800000</v>
      </c>
      <c r="E13" s="25">
        <v>4800000</v>
      </c>
      <c r="F13" s="25"/>
      <c r="G13" s="25"/>
      <c r="H13" s="25"/>
      <c r="I13" s="25"/>
      <c r="J13" s="25"/>
      <c r="K13" s="25"/>
      <c r="L13" s="25"/>
      <c r="M13" s="25"/>
      <c r="N13" s="25"/>
      <c r="O13" s="25"/>
      <c r="P13" s="25"/>
      <c r="Q13" s="25"/>
      <c r="R13" s="25"/>
      <c r="S13" s="25"/>
      <c r="T13" s="25">
        <v>4800000</v>
      </c>
      <c r="U13" s="15"/>
      <c r="V13" s="160"/>
      <c r="W13" s="160"/>
    </row>
    <row r="14" spans="1:24" x14ac:dyDescent="0.35">
      <c r="A14" s="22" t="s">
        <v>141</v>
      </c>
      <c r="B14" s="52">
        <v>4986000</v>
      </c>
      <c r="C14" s="68">
        <f>D14/B14*100</f>
        <v>42.920176494183714</v>
      </c>
      <c r="D14" s="15">
        <v>2140000</v>
      </c>
      <c r="E14" s="15">
        <v>2140000</v>
      </c>
      <c r="F14" s="15">
        <v>0</v>
      </c>
      <c r="G14" s="15">
        <v>0</v>
      </c>
      <c r="H14" s="15">
        <v>0</v>
      </c>
      <c r="I14" s="15">
        <v>0</v>
      </c>
      <c r="J14" s="15"/>
      <c r="K14" s="15"/>
      <c r="L14" s="15">
        <v>0</v>
      </c>
      <c r="M14" s="15"/>
      <c r="N14" s="15"/>
      <c r="O14" s="15"/>
      <c r="P14" s="15"/>
      <c r="Q14" s="15"/>
      <c r="R14" s="15"/>
      <c r="S14" s="15"/>
      <c r="T14" s="15">
        <f>SUM(E14:S14)-H14-I14-K14</f>
        <v>2140000</v>
      </c>
      <c r="U14" s="15"/>
      <c r="V14" s="160"/>
      <c r="W14" s="160"/>
      <c r="X14" s="160"/>
    </row>
    <row r="15" spans="1:24" x14ac:dyDescent="0.35">
      <c r="A15" s="154" t="s">
        <v>184</v>
      </c>
      <c r="B15" s="155"/>
      <c r="C15" s="156"/>
      <c r="D15" s="155"/>
      <c r="E15" s="155"/>
      <c r="F15" s="155"/>
      <c r="G15" s="155"/>
      <c r="H15" s="155"/>
      <c r="I15" s="155"/>
      <c r="J15" s="155"/>
      <c r="K15" s="155"/>
      <c r="L15" s="155"/>
      <c r="M15" s="155"/>
      <c r="N15" s="155"/>
      <c r="O15" s="155"/>
      <c r="P15" s="155"/>
      <c r="Q15" s="155"/>
      <c r="R15" s="155"/>
      <c r="S15" s="155"/>
      <c r="T15" s="157"/>
      <c r="U15" s="158"/>
      <c r="V15" s="160"/>
      <c r="W15" s="160"/>
    </row>
    <row r="16" spans="1:24" ht="29" x14ac:dyDescent="0.35">
      <c r="A16" s="22" t="s">
        <v>18</v>
      </c>
      <c r="B16" s="52">
        <v>10868000</v>
      </c>
      <c r="C16" s="69">
        <f>D16/B16*100</f>
        <v>53.827751196172244</v>
      </c>
      <c r="D16" s="15">
        <v>5850000</v>
      </c>
      <c r="E16" s="15"/>
      <c r="F16" s="15">
        <v>800000</v>
      </c>
      <c r="G16" s="15">
        <f>SUM(H16:L16)</f>
        <v>1367646</v>
      </c>
      <c r="H16" s="15">
        <v>530646</v>
      </c>
      <c r="I16" s="15">
        <v>115000</v>
      </c>
      <c r="J16" s="15">
        <v>105000</v>
      </c>
      <c r="K16" s="15"/>
      <c r="L16" s="42">
        <v>617000</v>
      </c>
      <c r="M16" s="15">
        <v>2010000</v>
      </c>
      <c r="N16" s="15"/>
      <c r="O16" s="15"/>
      <c r="P16" s="15"/>
      <c r="Q16" s="15"/>
      <c r="R16" s="15">
        <f>5850000-4177646</f>
        <v>1672354</v>
      </c>
      <c r="S16" s="15"/>
      <c r="T16" s="15">
        <f>E16+F16+G16+M16+R16+S16</f>
        <v>5850000</v>
      </c>
      <c r="U16" s="52" t="s">
        <v>193</v>
      </c>
      <c r="V16" s="160"/>
      <c r="W16" s="160"/>
      <c r="X16" s="160"/>
    </row>
    <row r="17" spans="1:24" x14ac:dyDescent="0.35">
      <c r="A17" s="22" t="s">
        <v>22</v>
      </c>
      <c r="B17" s="52">
        <v>7500000</v>
      </c>
      <c r="C17" s="68">
        <f t="shared" ref="C17:C29" si="3">D17/B17*100</f>
        <v>44</v>
      </c>
      <c r="D17" s="15">
        <v>3300000</v>
      </c>
      <c r="E17" s="15"/>
      <c r="F17" s="15">
        <v>381480</v>
      </c>
      <c r="G17" s="15">
        <f t="shared" ref="G17:G27" si="4">SUM(H17:L17)</f>
        <v>962527</v>
      </c>
      <c r="H17" s="15">
        <v>962527</v>
      </c>
      <c r="I17" s="15">
        <v>0</v>
      </c>
      <c r="J17" s="15">
        <v>0</v>
      </c>
      <c r="K17" s="15"/>
      <c r="L17" s="42">
        <v>0</v>
      </c>
      <c r="M17" s="15">
        <f>D17-F17-G17</f>
        <v>1955993</v>
      </c>
      <c r="N17" s="15">
        <v>500000</v>
      </c>
      <c r="O17" s="15">
        <v>500000</v>
      </c>
      <c r="P17" s="15">
        <v>500000</v>
      </c>
      <c r="Q17" s="15">
        <v>455993</v>
      </c>
      <c r="R17" s="15"/>
      <c r="S17" s="15"/>
      <c r="T17" s="15">
        <f>E17+F17+G17+M17+R17+S17</f>
        <v>3300000</v>
      </c>
      <c r="U17" s="15" t="s">
        <v>209</v>
      </c>
      <c r="V17" s="160"/>
      <c r="W17" s="160"/>
      <c r="X17" s="160"/>
    </row>
    <row r="18" spans="1:24" x14ac:dyDescent="0.35">
      <c r="A18" s="22" t="s">
        <v>73</v>
      </c>
      <c r="B18" s="52">
        <v>31982000</v>
      </c>
      <c r="C18" s="68">
        <f t="shared" si="3"/>
        <v>31.267588018260273</v>
      </c>
      <c r="D18" s="15">
        <v>10000000</v>
      </c>
      <c r="E18" s="15">
        <v>1459006.52</v>
      </c>
      <c r="F18" s="15">
        <v>2269701.73</v>
      </c>
      <c r="G18" s="15">
        <f t="shared" si="4"/>
        <v>3273615.64</v>
      </c>
      <c r="H18" s="15"/>
      <c r="I18" s="15">
        <v>1710097.72</v>
      </c>
      <c r="J18" s="15">
        <v>1042345.28</v>
      </c>
      <c r="K18" s="15"/>
      <c r="L18" s="42">
        <v>521172.64</v>
      </c>
      <c r="M18" s="15">
        <f>7000000*0.3127</f>
        <v>2188900</v>
      </c>
      <c r="N18" s="15">
        <f>1500000*0.3127</f>
        <v>469049.99999999994</v>
      </c>
      <c r="O18" s="15">
        <f>2000000*0.3127</f>
        <v>625400</v>
      </c>
      <c r="P18" s="15">
        <v>469050</v>
      </c>
      <c r="Q18" s="15">
        <v>625400</v>
      </c>
      <c r="R18" s="15">
        <f>10000000-9191224</f>
        <v>808776</v>
      </c>
      <c r="S18" s="15">
        <v>0</v>
      </c>
      <c r="T18" s="15">
        <f t="shared" ref="T18:T28" si="5">E18+F18+G18+M18+R18+S18</f>
        <v>9999999.8900000006</v>
      </c>
      <c r="U18" s="15" t="s">
        <v>209</v>
      </c>
      <c r="V18" s="160"/>
      <c r="W18" s="160"/>
      <c r="X18" s="160"/>
    </row>
    <row r="19" spans="1:24" x14ac:dyDescent="0.35">
      <c r="A19" s="22" t="s">
        <v>24</v>
      </c>
      <c r="B19" s="52">
        <v>7000000</v>
      </c>
      <c r="C19" s="68">
        <f t="shared" si="3"/>
        <v>35.357142857142861</v>
      </c>
      <c r="D19" s="15">
        <v>2475000</v>
      </c>
      <c r="E19" s="15">
        <v>835000</v>
      </c>
      <c r="F19" s="15">
        <v>1069000</v>
      </c>
      <c r="G19" s="15">
        <f t="shared" si="4"/>
        <v>447250</v>
      </c>
      <c r="H19" s="15"/>
      <c r="I19" s="15">
        <v>323500</v>
      </c>
      <c r="J19" s="15">
        <v>0</v>
      </c>
      <c r="K19" s="15"/>
      <c r="L19" s="42">
        <v>123750</v>
      </c>
      <c r="M19" s="15">
        <v>123750</v>
      </c>
      <c r="N19" s="15"/>
      <c r="O19" s="15">
        <v>123750</v>
      </c>
      <c r="P19" s="15"/>
      <c r="Q19" s="15"/>
      <c r="R19" s="15"/>
      <c r="S19" s="15"/>
      <c r="T19" s="15">
        <f t="shared" si="5"/>
        <v>2475000</v>
      </c>
      <c r="U19" s="15" t="s">
        <v>196</v>
      </c>
      <c r="V19" s="160"/>
      <c r="W19" s="160"/>
      <c r="X19" s="160"/>
    </row>
    <row r="20" spans="1:24" x14ac:dyDescent="0.35">
      <c r="A20" s="22" t="s">
        <v>25</v>
      </c>
      <c r="B20" s="52">
        <v>9980000</v>
      </c>
      <c r="C20" s="68">
        <f t="shared" si="3"/>
        <v>35.631262525050097</v>
      </c>
      <c r="D20" s="15">
        <v>3556000</v>
      </c>
      <c r="E20" s="15">
        <v>927000</v>
      </c>
      <c r="F20" s="15">
        <v>1685000</v>
      </c>
      <c r="G20" s="15">
        <f t="shared" si="4"/>
        <v>791199.5</v>
      </c>
      <c r="H20" s="15"/>
      <c r="I20" s="15">
        <v>612084</v>
      </c>
      <c r="J20" s="15">
        <v>0</v>
      </c>
      <c r="K20" s="15"/>
      <c r="L20" s="42">
        <v>179115.5</v>
      </c>
      <c r="M20" s="15">
        <f>3556000-3403200</f>
        <v>152800</v>
      </c>
      <c r="N20" s="15">
        <v>0</v>
      </c>
      <c r="O20" s="15"/>
      <c r="P20" s="15"/>
      <c r="Q20" s="15">
        <v>152800</v>
      </c>
      <c r="R20" s="15"/>
      <c r="S20" s="15"/>
      <c r="T20" s="15">
        <f t="shared" si="5"/>
        <v>3555999.5</v>
      </c>
      <c r="U20" s="15" t="s">
        <v>196</v>
      </c>
      <c r="V20" s="160"/>
      <c r="W20" s="160"/>
      <c r="X20" s="160"/>
    </row>
    <row r="21" spans="1:24" x14ac:dyDescent="0.35">
      <c r="A21" s="22" t="s">
        <v>26</v>
      </c>
      <c r="B21" s="52">
        <v>2045000</v>
      </c>
      <c r="C21" s="68">
        <f t="shared" si="3"/>
        <v>33</v>
      </c>
      <c r="D21" s="15">
        <v>674850</v>
      </c>
      <c r="E21" s="15">
        <v>41000</v>
      </c>
      <c r="F21" s="15">
        <v>412000</v>
      </c>
      <c r="G21" s="15">
        <f t="shared" si="4"/>
        <v>292279.5</v>
      </c>
      <c r="H21" s="15"/>
      <c r="I21" s="15">
        <f>50193</f>
        <v>50193</v>
      </c>
      <c r="J21" s="15">
        <v>104172</v>
      </c>
      <c r="K21" s="15">
        <v>104172</v>
      </c>
      <c r="L21" s="42">
        <v>33742.5</v>
      </c>
      <c r="M21" s="15">
        <v>33742.5</v>
      </c>
      <c r="N21" s="15">
        <v>33743</v>
      </c>
      <c r="O21" s="15"/>
      <c r="P21" s="15"/>
      <c r="Q21" s="15"/>
      <c r="R21" s="15"/>
      <c r="S21" s="15"/>
      <c r="T21" s="15">
        <f t="shared" si="5"/>
        <v>779022</v>
      </c>
      <c r="U21" s="15" t="s">
        <v>196</v>
      </c>
      <c r="V21" s="160"/>
      <c r="W21" s="160"/>
      <c r="X21" s="160"/>
    </row>
    <row r="22" spans="1:24" ht="29" x14ac:dyDescent="0.35">
      <c r="A22" s="22" t="s">
        <v>174</v>
      </c>
      <c r="B22" s="52">
        <v>6000000</v>
      </c>
      <c r="C22" s="68">
        <f t="shared" si="3"/>
        <v>36.166666666666671</v>
      </c>
      <c r="D22" s="15">
        <v>2170000</v>
      </c>
      <c r="E22" s="15">
        <v>330000</v>
      </c>
      <c r="F22" s="15">
        <v>1179000</v>
      </c>
      <c r="G22" s="15">
        <f t="shared" si="4"/>
        <v>552262.5</v>
      </c>
      <c r="H22" s="15"/>
      <c r="I22" s="15">
        <v>443775</v>
      </c>
      <c r="J22" s="15">
        <v>0</v>
      </c>
      <c r="K22" s="15"/>
      <c r="L22" s="42">
        <v>108487.5</v>
      </c>
      <c r="M22" s="15">
        <f>2170000-2061263</f>
        <v>108737</v>
      </c>
      <c r="N22" s="15"/>
      <c r="O22" s="15">
        <v>108737</v>
      </c>
      <c r="P22" s="15"/>
      <c r="Q22" s="15"/>
      <c r="R22" s="15"/>
      <c r="S22" s="15"/>
      <c r="T22" s="15">
        <f t="shared" si="5"/>
        <v>2169999.5</v>
      </c>
      <c r="U22" s="15" t="s">
        <v>196</v>
      </c>
      <c r="V22" s="160"/>
      <c r="W22" s="160"/>
      <c r="X22" s="160"/>
    </row>
    <row r="23" spans="1:24" x14ac:dyDescent="0.35">
      <c r="A23" s="22" t="s">
        <v>142</v>
      </c>
      <c r="B23" s="52">
        <v>11690000</v>
      </c>
      <c r="C23" s="68">
        <f t="shared" si="3"/>
        <v>42.771599657827203</v>
      </c>
      <c r="D23" s="15">
        <v>5000000</v>
      </c>
      <c r="E23" s="15"/>
      <c r="F23" s="15">
        <v>2476986</v>
      </c>
      <c r="G23" s="15">
        <f t="shared" si="4"/>
        <v>2523014</v>
      </c>
      <c r="H23" s="15">
        <v>1660000</v>
      </c>
      <c r="I23" s="15"/>
      <c r="J23" s="15">
        <v>363014</v>
      </c>
      <c r="K23" s="15"/>
      <c r="L23" s="42">
        <v>500000</v>
      </c>
      <c r="M23" s="15">
        <v>0</v>
      </c>
      <c r="N23" s="15"/>
      <c r="O23" s="15"/>
      <c r="P23" s="15"/>
      <c r="Q23" s="15"/>
      <c r="R23" s="15"/>
      <c r="S23" s="15"/>
      <c r="T23" s="15">
        <f t="shared" si="5"/>
        <v>5000000</v>
      </c>
      <c r="U23" s="15" t="s">
        <v>195</v>
      </c>
      <c r="V23" s="160"/>
      <c r="W23" s="160"/>
      <c r="X23" s="160"/>
    </row>
    <row r="24" spans="1:24" ht="43.5" x14ac:dyDescent="0.35">
      <c r="A24" s="23" t="s">
        <v>37</v>
      </c>
      <c r="B24" s="76">
        <v>19350000</v>
      </c>
      <c r="C24" s="68">
        <f t="shared" si="3"/>
        <v>27.390180878552972</v>
      </c>
      <c r="D24" s="15">
        <v>5300000</v>
      </c>
      <c r="E24" s="15"/>
      <c r="F24" s="15">
        <v>2383532</v>
      </c>
      <c r="G24" s="15">
        <f t="shared" si="4"/>
        <v>1804104</v>
      </c>
      <c r="H24" s="15">
        <v>424000</v>
      </c>
      <c r="I24" s="15">
        <v>0</v>
      </c>
      <c r="J24" s="15">
        <v>0</v>
      </c>
      <c r="K24" s="15"/>
      <c r="L24" s="42">
        <v>1380104</v>
      </c>
      <c r="M24" s="15">
        <f>5300000-4876636</f>
        <v>423364</v>
      </c>
      <c r="N24" s="15">
        <v>0</v>
      </c>
      <c r="O24" s="15">
        <v>0</v>
      </c>
      <c r="P24" s="15">
        <v>200000</v>
      </c>
      <c r="Q24" s="15">
        <v>223364</v>
      </c>
      <c r="R24" s="15">
        <f>5300000*0.05</f>
        <v>265000</v>
      </c>
      <c r="T24" s="15">
        <f t="shared" si="5"/>
        <v>4876000</v>
      </c>
      <c r="U24" s="52" t="s">
        <v>207</v>
      </c>
      <c r="V24" s="160"/>
      <c r="W24" s="160"/>
      <c r="X24" s="160"/>
    </row>
    <row r="25" spans="1:24" ht="29" x14ac:dyDescent="0.35">
      <c r="A25" s="24" t="s">
        <v>36</v>
      </c>
      <c r="B25" s="77">
        <v>19600000</v>
      </c>
      <c r="C25" s="68">
        <f t="shared" si="3"/>
        <v>33.316326530612244</v>
      </c>
      <c r="D25" s="15">
        <v>6530000</v>
      </c>
      <c r="E25" s="15"/>
      <c r="F25" s="15">
        <v>1900000</v>
      </c>
      <c r="G25" s="15">
        <f t="shared" si="4"/>
        <v>3167429</v>
      </c>
      <c r="H25" s="15">
        <v>665000</v>
      </c>
      <c r="I25" s="15">
        <v>535000</v>
      </c>
      <c r="J25" s="15">
        <v>302979</v>
      </c>
      <c r="K25" s="15"/>
      <c r="L25" s="42">
        <v>1664450</v>
      </c>
      <c r="M25" s="15">
        <f>6530000-5720429</f>
        <v>809571</v>
      </c>
      <c r="N25" s="15">
        <v>200000</v>
      </c>
      <c r="O25" s="15">
        <v>200000</v>
      </c>
      <c r="P25" s="15">
        <v>200000</v>
      </c>
      <c r="Q25" s="15">
        <v>200000</v>
      </c>
      <c r="R25" s="15">
        <v>653000</v>
      </c>
      <c r="S25" s="15"/>
      <c r="T25" s="15">
        <f t="shared" si="5"/>
        <v>6530000</v>
      </c>
      <c r="U25" s="52" t="s">
        <v>208</v>
      </c>
      <c r="V25" s="160"/>
      <c r="W25" s="160"/>
      <c r="X25" s="160"/>
    </row>
    <row r="26" spans="1:24" x14ac:dyDescent="0.35">
      <c r="A26" s="22" t="s">
        <v>35</v>
      </c>
      <c r="B26" s="52">
        <v>35000000</v>
      </c>
      <c r="C26" s="68">
        <f t="shared" si="3"/>
        <v>23.806365714285715</v>
      </c>
      <c r="D26" s="15">
        <v>8332228</v>
      </c>
      <c r="E26" s="15"/>
      <c r="F26" s="15"/>
      <c r="G26" s="15">
        <f t="shared" si="4"/>
        <v>0</v>
      </c>
      <c r="H26" s="15"/>
      <c r="I26" s="15"/>
      <c r="J26" s="15">
        <v>0</v>
      </c>
      <c r="K26" s="15"/>
      <c r="L26" s="42">
        <v>0</v>
      </c>
      <c r="M26" s="15">
        <v>500000</v>
      </c>
      <c r="N26" s="15"/>
      <c r="O26" s="15"/>
      <c r="P26" s="15">
        <v>250000</v>
      </c>
      <c r="Q26" s="15">
        <v>250000</v>
      </c>
      <c r="R26" s="15">
        <v>4000000</v>
      </c>
      <c r="S26" s="15">
        <f>8332228-4500000</f>
        <v>3832228</v>
      </c>
      <c r="T26" s="15">
        <f t="shared" si="5"/>
        <v>8332228</v>
      </c>
      <c r="U26" s="52" t="s">
        <v>197</v>
      </c>
      <c r="V26" s="160"/>
      <c r="W26" s="160"/>
      <c r="X26" s="160"/>
    </row>
    <row r="27" spans="1:24" x14ac:dyDescent="0.35">
      <c r="A27" s="22" t="s">
        <v>58</v>
      </c>
      <c r="B27" s="52">
        <v>3500000</v>
      </c>
      <c r="C27" s="68">
        <f t="shared" si="3"/>
        <v>91.371428571428567</v>
      </c>
      <c r="D27" s="15">
        <v>3198000</v>
      </c>
      <c r="E27" s="15"/>
      <c r="F27" s="15">
        <v>0</v>
      </c>
      <c r="G27" s="15">
        <f t="shared" si="4"/>
        <v>955796.61</v>
      </c>
      <c r="H27" s="15"/>
      <c r="I27" s="15">
        <v>546425</v>
      </c>
      <c r="J27" s="15">
        <v>0</v>
      </c>
      <c r="K27" s="15"/>
      <c r="L27" s="42">
        <v>409371.61</v>
      </c>
      <c r="M27" s="15">
        <f>3198000-SUM(H27:L27)</f>
        <v>2242203.39</v>
      </c>
      <c r="N27" s="15"/>
      <c r="O27" s="15">
        <v>100000</v>
      </c>
      <c r="P27" s="15">
        <v>2142203</v>
      </c>
      <c r="Q27" s="15"/>
      <c r="R27" s="15"/>
      <c r="S27" s="15"/>
      <c r="T27" s="15">
        <f t="shared" si="5"/>
        <v>3198000</v>
      </c>
      <c r="U27" s="15" t="s">
        <v>187</v>
      </c>
      <c r="V27" s="160"/>
      <c r="W27" s="160"/>
      <c r="X27" s="160"/>
    </row>
    <row r="28" spans="1:24" x14ac:dyDescent="0.35">
      <c r="A28" s="22" t="s">
        <v>46</v>
      </c>
      <c r="B28" s="52">
        <v>38000000</v>
      </c>
      <c r="C28" s="68">
        <f t="shared" si="3"/>
        <v>14.736842105263156</v>
      </c>
      <c r="D28" s="15">
        <v>5600000</v>
      </c>
      <c r="E28" s="15"/>
      <c r="F28" s="15">
        <v>0</v>
      </c>
      <c r="G28" s="15">
        <v>0</v>
      </c>
      <c r="H28" s="15"/>
      <c r="I28" s="15"/>
      <c r="J28" s="15">
        <v>0</v>
      </c>
      <c r="K28" s="15"/>
      <c r="L28" s="15">
        <v>0</v>
      </c>
      <c r="M28" s="15">
        <v>2000000</v>
      </c>
      <c r="N28" s="15"/>
      <c r="O28" s="15">
        <v>1000000</v>
      </c>
      <c r="P28" s="15">
        <v>500000</v>
      </c>
      <c r="Q28" s="15">
        <v>500000</v>
      </c>
      <c r="R28" s="15">
        <v>2000000</v>
      </c>
      <c r="S28" s="15">
        <v>1600000</v>
      </c>
      <c r="T28" s="15">
        <f t="shared" si="5"/>
        <v>5600000</v>
      </c>
      <c r="U28" s="15" t="s">
        <v>210</v>
      </c>
      <c r="V28" s="160"/>
      <c r="W28" s="160"/>
      <c r="X28" s="160"/>
    </row>
    <row r="29" spans="1:24" x14ac:dyDescent="0.35">
      <c r="A29" s="4" t="s">
        <v>72</v>
      </c>
      <c r="B29" s="78">
        <f>SUM(B10:B28)</f>
        <v>279131200</v>
      </c>
      <c r="C29" s="68">
        <f t="shared" si="3"/>
        <v>34.652549768710919</v>
      </c>
      <c r="D29" s="26">
        <f t="shared" ref="D29:T29" si="6">SUM(D10:D28)</f>
        <v>96726078</v>
      </c>
      <c r="E29" s="26">
        <f t="shared" si="6"/>
        <v>26819999.52</v>
      </c>
      <c r="F29" s="26">
        <f t="shared" si="6"/>
        <v>26068706.73</v>
      </c>
      <c r="G29" s="26">
        <f t="shared" si="6"/>
        <v>16137123.75</v>
      </c>
      <c r="H29" s="26">
        <f t="shared" si="6"/>
        <v>4242173</v>
      </c>
      <c r="I29" s="26">
        <f t="shared" si="6"/>
        <v>4336074.72</v>
      </c>
      <c r="J29" s="26">
        <f t="shared" si="6"/>
        <v>1917510.28</v>
      </c>
      <c r="K29" s="26">
        <f t="shared" si="6"/>
        <v>104172</v>
      </c>
      <c r="L29" s="26">
        <f t="shared" si="6"/>
        <v>5537193.7500000009</v>
      </c>
      <c r="M29" s="26">
        <f t="shared" si="6"/>
        <v>12549060.890000001</v>
      </c>
      <c r="N29" s="26">
        <f t="shared" si="6"/>
        <v>1202793</v>
      </c>
      <c r="O29" s="26">
        <f t="shared" si="6"/>
        <v>2657887</v>
      </c>
      <c r="P29" s="26">
        <f t="shared" si="6"/>
        <v>4261253</v>
      </c>
      <c r="Q29" s="26">
        <f t="shared" si="6"/>
        <v>2407557</v>
      </c>
      <c r="R29" s="26">
        <f t="shared" si="6"/>
        <v>9399130</v>
      </c>
      <c r="S29" s="26">
        <f t="shared" si="6"/>
        <v>5432228</v>
      </c>
      <c r="T29" s="26">
        <f t="shared" si="6"/>
        <v>96406248.890000001</v>
      </c>
      <c r="U29" s="15"/>
      <c r="V29" s="160"/>
      <c r="W29" s="160"/>
      <c r="X29" s="160"/>
    </row>
    <row r="30" spans="1:24" x14ac:dyDescent="0.35">
      <c r="A30" s="22" t="s">
        <v>89</v>
      </c>
      <c r="B30" s="52"/>
      <c r="C30" s="69"/>
      <c r="D30" s="21"/>
      <c r="E30" s="21">
        <v>0</v>
      </c>
      <c r="F30" s="21">
        <f>F6-F29</f>
        <v>19718528.27</v>
      </c>
      <c r="G30" s="21"/>
      <c r="H30" s="21"/>
      <c r="I30" s="21"/>
      <c r="J30" s="21"/>
      <c r="K30" s="21"/>
      <c r="L30" s="21"/>
      <c r="M30" s="21"/>
      <c r="N30" s="21"/>
      <c r="O30" s="21"/>
      <c r="P30" s="21"/>
      <c r="Q30" s="21"/>
      <c r="R30" s="21"/>
      <c r="S30" s="21"/>
      <c r="T30" s="26"/>
      <c r="U30" s="15"/>
    </row>
    <row r="31" spans="1:24" x14ac:dyDescent="0.35">
      <c r="A31" s="22"/>
      <c r="B31" s="52"/>
      <c r="C31" s="69"/>
      <c r="D31" s="21"/>
      <c r="E31" s="21"/>
      <c r="F31" s="21"/>
      <c r="G31" s="21"/>
      <c r="H31" s="21"/>
      <c r="I31" s="21"/>
      <c r="J31" s="21"/>
      <c r="K31" s="21"/>
      <c r="L31" s="21"/>
      <c r="M31" s="21"/>
      <c r="N31" s="21"/>
      <c r="O31" s="21"/>
      <c r="P31" s="21"/>
      <c r="Q31" s="21"/>
      <c r="R31" s="21"/>
      <c r="S31" s="21"/>
      <c r="T31" s="26">
        <f>12100000-U31</f>
        <v>26150</v>
      </c>
      <c r="U31" s="15">
        <f>8875850+3198000</f>
        <v>12073850</v>
      </c>
    </row>
    <row r="32" spans="1:24" ht="45" x14ac:dyDescent="0.5">
      <c r="A32" s="28" t="s">
        <v>62</v>
      </c>
      <c r="B32" s="79"/>
      <c r="C32" s="70"/>
      <c r="D32" s="35" t="s">
        <v>80</v>
      </c>
      <c r="E32" s="36"/>
      <c r="F32" s="36"/>
      <c r="G32" s="36"/>
      <c r="H32" s="36"/>
      <c r="I32" s="36"/>
      <c r="J32" s="36"/>
      <c r="K32" s="36"/>
      <c r="L32" s="36"/>
      <c r="M32" s="36"/>
      <c r="N32" s="36"/>
      <c r="O32" s="36"/>
      <c r="P32" s="36"/>
      <c r="Q32" s="36"/>
      <c r="R32" s="36"/>
      <c r="S32" s="36"/>
      <c r="T32" s="36"/>
      <c r="U32" s="36"/>
    </row>
    <row r="33" spans="1:24" ht="21" x14ac:dyDescent="0.5">
      <c r="A33" s="40" t="s">
        <v>81</v>
      </c>
      <c r="B33" s="80"/>
      <c r="C33" s="71"/>
      <c r="D33" s="41"/>
      <c r="E33" s="42"/>
      <c r="F33" s="42"/>
      <c r="G33" s="43">
        <v>10348178</v>
      </c>
      <c r="H33" s="43">
        <f>G33+G6</f>
        <v>18269116</v>
      </c>
      <c r="I33" s="43"/>
      <c r="J33" s="43"/>
      <c r="K33" s="43"/>
      <c r="L33" s="43"/>
      <c r="M33" s="43">
        <v>8494566</v>
      </c>
      <c r="N33" s="43"/>
      <c r="O33" s="43"/>
      <c r="P33" s="43"/>
      <c r="Q33" s="43"/>
      <c r="R33" s="43">
        <v>4244678</v>
      </c>
      <c r="S33" s="43">
        <v>20192577</v>
      </c>
      <c r="T33" s="44">
        <f>SUM(G33:S33)</f>
        <v>61549115</v>
      </c>
      <c r="U33" s="42"/>
    </row>
    <row r="34" spans="1:24" ht="29" x14ac:dyDescent="0.35">
      <c r="A34" s="90" t="s">
        <v>94</v>
      </c>
      <c r="B34" s="81">
        <v>24700000</v>
      </c>
      <c r="C34" s="72">
        <f>D34/B34*100</f>
        <v>40.48582995951417</v>
      </c>
      <c r="D34" s="15">
        <v>10000000</v>
      </c>
      <c r="E34" s="15"/>
      <c r="F34" s="15"/>
      <c r="G34" s="15">
        <f>SUM(H34:L34)</f>
        <v>480269.06000000006</v>
      </c>
      <c r="H34" s="15">
        <v>0</v>
      </c>
      <c r="I34" s="15">
        <v>0</v>
      </c>
      <c r="J34" s="15">
        <v>177735.67</v>
      </c>
      <c r="K34" s="15"/>
      <c r="L34" s="42">
        <v>302533.39</v>
      </c>
      <c r="M34" s="15">
        <f>1500000*0.41</f>
        <v>615000</v>
      </c>
      <c r="N34" s="15">
        <f>125000*0.41</f>
        <v>51250</v>
      </c>
      <c r="O34" s="15">
        <v>100000</v>
      </c>
      <c r="P34" s="15">
        <v>150000</v>
      </c>
      <c r="Q34" s="15">
        <f>615000-51250-100000</f>
        <v>463750</v>
      </c>
      <c r="R34" s="15">
        <v>5195000</v>
      </c>
      <c r="S34" s="15">
        <f>10000000-6290269</f>
        <v>3709731</v>
      </c>
      <c r="T34" s="15">
        <f>G34+M34+R34+S34</f>
        <v>10000000.060000001</v>
      </c>
      <c r="U34" s="15" t="s">
        <v>131</v>
      </c>
      <c r="W34" s="160"/>
      <c r="X34" s="160"/>
    </row>
    <row r="35" spans="1:24" x14ac:dyDescent="0.35">
      <c r="A35" s="1" t="s">
        <v>65</v>
      </c>
      <c r="B35" s="15">
        <v>5000000</v>
      </c>
      <c r="C35" s="72">
        <f>D35/B35*100</f>
        <v>76</v>
      </c>
      <c r="D35" s="15">
        <v>3800000</v>
      </c>
      <c r="E35" s="15">
        <v>0</v>
      </c>
      <c r="F35" s="15">
        <v>0</v>
      </c>
      <c r="G35" s="15">
        <f t="shared" ref="G35:G42" si="7">SUM(H35:L35)</f>
        <v>220000</v>
      </c>
      <c r="H35" s="15"/>
      <c r="I35" s="15"/>
      <c r="J35" s="15">
        <v>160000</v>
      </c>
      <c r="K35" s="15"/>
      <c r="L35" s="42">
        <v>60000</v>
      </c>
      <c r="M35" s="15">
        <v>997500</v>
      </c>
      <c r="N35" s="15"/>
      <c r="O35" s="15"/>
      <c r="P35" s="15"/>
      <c r="Q35" s="15"/>
      <c r="R35" s="15">
        <f>4933000*0.348</f>
        <v>1716683.9999999998</v>
      </c>
      <c r="S35" s="15">
        <f>3800000-R35-M35-L35-J35</f>
        <v>865816.00000000023</v>
      </c>
      <c r="T35" s="15">
        <f t="shared" ref="T35:T42" si="8">G35+M35+R35+S35</f>
        <v>3800000</v>
      </c>
      <c r="U35" s="15" t="s">
        <v>194</v>
      </c>
      <c r="W35" s="160"/>
      <c r="X35" s="160"/>
    </row>
    <row r="36" spans="1:24" x14ac:dyDescent="0.35">
      <c r="A36" s="1" t="s">
        <v>69</v>
      </c>
      <c r="B36" s="15">
        <v>5427000</v>
      </c>
      <c r="C36" s="72">
        <f t="shared" ref="C36:C41" si="9">D36/B36*100</f>
        <v>67.495854063018243</v>
      </c>
      <c r="D36" s="15">
        <f>3700000*0.99</f>
        <v>3663000</v>
      </c>
      <c r="E36" s="15"/>
      <c r="F36" s="15"/>
      <c r="G36" s="15">
        <f t="shared" si="7"/>
        <v>0</v>
      </c>
      <c r="H36" s="15"/>
      <c r="I36" s="15"/>
      <c r="J36" s="15"/>
      <c r="K36" s="15"/>
      <c r="L36" s="42">
        <v>0</v>
      </c>
      <c r="M36" s="15">
        <f>486099*0.675</f>
        <v>328116.82500000001</v>
      </c>
      <c r="N36" s="15">
        <f>180000*0.675</f>
        <v>121500.00000000001</v>
      </c>
      <c r="O36" s="15">
        <v>67000</v>
      </c>
      <c r="P36" s="15">
        <v>70000</v>
      </c>
      <c r="Q36" s="15">
        <v>70000</v>
      </c>
      <c r="R36" s="15">
        <f>2692191*0.675</f>
        <v>1817228.925</v>
      </c>
      <c r="S36" s="15">
        <f>3663000-2145346</f>
        <v>1517654</v>
      </c>
      <c r="T36" s="15">
        <f t="shared" si="8"/>
        <v>3662999.75</v>
      </c>
      <c r="U36" s="15" t="s">
        <v>205</v>
      </c>
      <c r="W36" s="160"/>
      <c r="X36" s="160"/>
    </row>
    <row r="37" spans="1:24" x14ac:dyDescent="0.35">
      <c r="A37" s="1" t="s">
        <v>66</v>
      </c>
      <c r="B37" s="15">
        <v>13500000</v>
      </c>
      <c r="C37" s="72">
        <f t="shared" si="9"/>
        <v>51.111111111111107</v>
      </c>
      <c r="D37" s="15">
        <v>6900000</v>
      </c>
      <c r="E37" s="15"/>
      <c r="F37" s="15"/>
      <c r="G37" s="15">
        <f t="shared" si="7"/>
        <v>1510255</v>
      </c>
      <c r="H37" s="15"/>
      <c r="I37" s="15"/>
      <c r="J37" s="15"/>
      <c r="K37" s="15"/>
      <c r="L37" s="42">
        <v>1510255</v>
      </c>
      <c r="M37" s="15">
        <f>(6674000+135000)*0.52</f>
        <v>3540680</v>
      </c>
      <c r="N37" s="15">
        <v>70200</v>
      </c>
      <c r="O37" s="15">
        <v>150000</v>
      </c>
      <c r="P37" s="15">
        <f>(6674000/2)*0.52</f>
        <v>1735240</v>
      </c>
      <c r="Q37" s="15">
        <f>P37</f>
        <v>1735240</v>
      </c>
      <c r="R37" s="15">
        <f>6900000-5050935</f>
        <v>1849065</v>
      </c>
      <c r="S37" s="15">
        <v>0</v>
      </c>
      <c r="T37" s="15">
        <f>G37+M37+R37+S37</f>
        <v>6900000</v>
      </c>
      <c r="U37" s="15" t="s">
        <v>206</v>
      </c>
      <c r="W37" s="160"/>
      <c r="X37" s="160"/>
    </row>
    <row r="38" spans="1:24" x14ac:dyDescent="0.35">
      <c r="A38" s="1" t="s">
        <v>68</v>
      </c>
      <c r="B38" s="15">
        <v>6465000</v>
      </c>
      <c r="C38" s="72">
        <f t="shared" si="9"/>
        <v>66.51198762567671</v>
      </c>
      <c r="D38" s="15">
        <v>4300000</v>
      </c>
      <c r="E38" s="15"/>
      <c r="F38" s="15"/>
      <c r="G38" s="15">
        <f t="shared" si="7"/>
        <v>0</v>
      </c>
      <c r="H38" s="15"/>
      <c r="I38" s="15"/>
      <c r="J38" s="15"/>
      <c r="K38" s="15"/>
      <c r="L38" s="15"/>
      <c r="M38" s="15">
        <f>(1200000*0.67)</f>
        <v>804000</v>
      </c>
      <c r="N38" s="15"/>
      <c r="O38" s="15"/>
      <c r="P38" s="15"/>
      <c r="Q38" s="15"/>
      <c r="R38" s="15">
        <f>4890000*0.67</f>
        <v>3276300</v>
      </c>
      <c r="S38" s="15">
        <f>4300000-4080300</f>
        <v>219700</v>
      </c>
      <c r="T38" s="15">
        <f t="shared" si="8"/>
        <v>4300000</v>
      </c>
      <c r="U38" s="15" t="s">
        <v>90</v>
      </c>
      <c r="W38" s="160"/>
      <c r="X38" s="160"/>
    </row>
    <row r="39" spans="1:24" x14ac:dyDescent="0.35">
      <c r="A39" s="1" t="s">
        <v>63</v>
      </c>
      <c r="B39" s="15">
        <v>5000000</v>
      </c>
      <c r="C39" s="72">
        <f t="shared" si="9"/>
        <v>100.52300000000001</v>
      </c>
      <c r="D39" s="15">
        <v>5026150</v>
      </c>
      <c r="E39" s="15"/>
      <c r="F39" s="15"/>
      <c r="G39" s="15">
        <f t="shared" si="7"/>
        <v>0</v>
      </c>
      <c r="H39" s="15"/>
      <c r="I39" s="15"/>
      <c r="J39" s="15"/>
      <c r="K39" s="15"/>
      <c r="L39" s="15"/>
      <c r="M39" s="15">
        <v>1026150</v>
      </c>
      <c r="N39" s="15"/>
      <c r="O39" s="15"/>
      <c r="P39" s="15"/>
      <c r="Q39" s="15"/>
      <c r="R39" s="15">
        <v>2500000</v>
      </c>
      <c r="S39" s="15">
        <v>1500000</v>
      </c>
      <c r="T39" s="15">
        <f t="shared" si="8"/>
        <v>5026150</v>
      </c>
      <c r="U39" s="15" t="s">
        <v>85</v>
      </c>
      <c r="W39" s="160"/>
      <c r="X39" s="160"/>
    </row>
    <row r="40" spans="1:24" x14ac:dyDescent="0.35">
      <c r="A40" s="1" t="s">
        <v>64</v>
      </c>
      <c r="B40" s="15">
        <v>4151070</v>
      </c>
      <c r="C40" s="72">
        <f t="shared" si="9"/>
        <v>100</v>
      </c>
      <c r="D40" s="15">
        <f>4193000*0.99</f>
        <v>4151070</v>
      </c>
      <c r="E40" s="15"/>
      <c r="F40" s="15"/>
      <c r="G40" s="15">
        <f t="shared" si="7"/>
        <v>0</v>
      </c>
      <c r="H40" s="15"/>
      <c r="I40" s="15"/>
      <c r="J40" s="15"/>
      <c r="K40" s="15"/>
      <c r="L40" s="15"/>
      <c r="M40" s="15">
        <v>1000000</v>
      </c>
      <c r="N40" s="15"/>
      <c r="O40" s="15"/>
      <c r="P40" s="15"/>
      <c r="Q40" s="15"/>
      <c r="R40" s="15">
        <v>2000000</v>
      </c>
      <c r="S40" s="15">
        <v>1151070</v>
      </c>
      <c r="T40" s="15">
        <f t="shared" si="8"/>
        <v>4151070</v>
      </c>
      <c r="U40" s="15" t="s">
        <v>85</v>
      </c>
      <c r="W40" s="160"/>
      <c r="X40" s="160"/>
    </row>
    <row r="41" spans="1:24" x14ac:dyDescent="0.35">
      <c r="A41" s="1" t="s">
        <v>67</v>
      </c>
      <c r="B41" s="15">
        <v>7750000</v>
      </c>
      <c r="C41" s="72">
        <f t="shared" si="9"/>
        <v>64.516129032258064</v>
      </c>
      <c r="D41" s="15">
        <v>5000000</v>
      </c>
      <c r="E41" s="15"/>
      <c r="F41" s="15"/>
      <c r="G41" s="15">
        <f t="shared" si="7"/>
        <v>0</v>
      </c>
      <c r="H41" s="15"/>
      <c r="I41" s="15"/>
      <c r="J41" s="15"/>
      <c r="K41" s="15"/>
      <c r="L41" s="15"/>
      <c r="M41" s="15">
        <v>1000000</v>
      </c>
      <c r="N41" s="15"/>
      <c r="O41" s="15">
        <v>200000</v>
      </c>
      <c r="P41" s="15">
        <v>400000</v>
      </c>
      <c r="Q41" s="15">
        <v>400000</v>
      </c>
      <c r="R41" s="15">
        <v>2000000</v>
      </c>
      <c r="S41" s="15">
        <v>2000000</v>
      </c>
      <c r="T41" s="15">
        <f t="shared" si="8"/>
        <v>5000000</v>
      </c>
      <c r="U41" s="15" t="s">
        <v>192</v>
      </c>
      <c r="W41" s="160"/>
      <c r="X41" s="160"/>
    </row>
    <row r="42" spans="1:24" x14ac:dyDescent="0.35">
      <c r="A42" s="1" t="s">
        <v>211</v>
      </c>
      <c r="B42" s="15"/>
      <c r="C42" s="72"/>
      <c r="D42" s="15">
        <v>26190</v>
      </c>
      <c r="E42" s="15"/>
      <c r="F42" s="15"/>
      <c r="G42" s="15">
        <f t="shared" si="7"/>
        <v>0</v>
      </c>
      <c r="H42" s="15"/>
      <c r="I42" s="15"/>
      <c r="J42" s="15"/>
      <c r="K42" s="15"/>
      <c r="L42" s="15"/>
      <c r="M42" s="15"/>
      <c r="N42" s="15"/>
      <c r="O42" s="15"/>
      <c r="P42" s="15"/>
      <c r="Q42" s="15"/>
      <c r="R42" s="15"/>
      <c r="S42" s="25"/>
      <c r="T42" s="15">
        <f t="shared" si="8"/>
        <v>0</v>
      </c>
      <c r="U42" s="174"/>
      <c r="W42" s="160"/>
      <c r="X42" s="160"/>
    </row>
    <row r="43" spans="1:24" x14ac:dyDescent="0.35">
      <c r="A43" s="2" t="s">
        <v>79</v>
      </c>
      <c r="B43" s="21"/>
      <c r="C43" s="72"/>
      <c r="D43" s="15">
        <f>50000+41930+50000+43000+69000+37000+38000+100000</f>
        <v>428930</v>
      </c>
      <c r="E43" s="15">
        <v>0</v>
      </c>
      <c r="F43" s="15">
        <v>0</v>
      </c>
      <c r="G43" s="159">
        <f>D43/4</f>
        <v>107232.5</v>
      </c>
      <c r="H43" s="15">
        <v>0</v>
      </c>
      <c r="I43" s="15">
        <v>0</v>
      </c>
      <c r="J43" s="15"/>
      <c r="K43" s="15">
        <f>428930/4</f>
        <v>107232.5</v>
      </c>
      <c r="L43" s="15"/>
      <c r="M43" s="15">
        <f>G43</f>
        <v>107232.5</v>
      </c>
      <c r="N43" s="15"/>
      <c r="O43" s="15"/>
      <c r="P43" s="15"/>
      <c r="Q43" s="15"/>
      <c r="R43" s="15">
        <v>107233</v>
      </c>
      <c r="S43" s="25">
        <v>107232</v>
      </c>
      <c r="T43" s="15">
        <f t="shared" ref="T43" si="10">E43+F43+SUM(H43:S43)</f>
        <v>428930</v>
      </c>
      <c r="U43"/>
    </row>
    <row r="44" spans="1:24" x14ac:dyDescent="0.35">
      <c r="A44" s="2" t="s">
        <v>70</v>
      </c>
      <c r="B44" s="21">
        <f>SUM(B34:B41)</f>
        <v>71993070</v>
      </c>
      <c r="C44" s="72">
        <f>D44/B44*100</f>
        <v>60.138204968894925</v>
      </c>
      <c r="D44" s="21">
        <f>SUM(D34:D43)</f>
        <v>43295340</v>
      </c>
      <c r="E44" s="21">
        <f t="shared" ref="E44:T44" si="11">SUM(E34:E43)</f>
        <v>0</v>
      </c>
      <c r="F44" s="21">
        <f t="shared" si="11"/>
        <v>0</v>
      </c>
      <c r="G44" s="21">
        <f t="shared" si="11"/>
        <v>2317756.56</v>
      </c>
      <c r="H44" s="21">
        <f t="shared" si="11"/>
        <v>0</v>
      </c>
      <c r="I44" s="21">
        <f t="shared" si="11"/>
        <v>0</v>
      </c>
      <c r="J44" s="21">
        <f t="shared" si="11"/>
        <v>337735.67000000004</v>
      </c>
      <c r="K44" s="21">
        <f t="shared" si="11"/>
        <v>107232.5</v>
      </c>
      <c r="L44" s="21">
        <f t="shared" si="11"/>
        <v>1872788.3900000001</v>
      </c>
      <c r="M44" s="21">
        <f t="shared" si="11"/>
        <v>9418679.3249999993</v>
      </c>
      <c r="N44" s="21">
        <f t="shared" si="11"/>
        <v>242950</v>
      </c>
      <c r="O44" s="21">
        <f t="shared" si="11"/>
        <v>517000</v>
      </c>
      <c r="P44" s="21">
        <f t="shared" si="11"/>
        <v>2355240</v>
      </c>
      <c r="Q44" s="21">
        <f t="shared" si="11"/>
        <v>2668990</v>
      </c>
      <c r="R44" s="21">
        <f t="shared" si="11"/>
        <v>20461510.925000001</v>
      </c>
      <c r="S44" s="21">
        <f t="shared" si="11"/>
        <v>11071203</v>
      </c>
      <c r="T44" s="21">
        <f t="shared" si="11"/>
        <v>43269149.810000002</v>
      </c>
      <c r="U44" s="15"/>
      <c r="W44" s="160"/>
      <c r="X44" s="160"/>
    </row>
    <row r="45" spans="1:24" x14ac:dyDescent="0.35">
      <c r="A45" s="2" t="s">
        <v>82</v>
      </c>
      <c r="B45" s="21"/>
      <c r="C45" s="73"/>
      <c r="D45" s="21"/>
      <c r="E45" s="21"/>
      <c r="F45" s="21"/>
      <c r="G45" s="21">
        <f>G33-G44</f>
        <v>8030421.4399999995</v>
      </c>
      <c r="H45" s="21"/>
      <c r="I45" s="21"/>
      <c r="J45" s="21"/>
      <c r="K45" s="21"/>
      <c r="L45" s="21"/>
      <c r="M45" s="21"/>
      <c r="N45" s="21"/>
      <c r="O45" s="21"/>
      <c r="P45" s="21"/>
      <c r="Q45" s="21"/>
      <c r="R45" s="21">
        <f>R33-R44</f>
        <v>-16216832.925000001</v>
      </c>
      <c r="S45" s="21">
        <f>S33-S44</f>
        <v>9121374</v>
      </c>
      <c r="T45" s="26"/>
      <c r="U45" s="15"/>
    </row>
    <row r="46" spans="1:24" x14ac:dyDescent="0.35">
      <c r="A46" s="1"/>
      <c r="B46" s="15"/>
      <c r="C46" s="1"/>
      <c r="D46" s="15"/>
      <c r="E46" s="15"/>
      <c r="F46" s="15"/>
      <c r="G46" s="15"/>
      <c r="H46" s="15"/>
      <c r="I46" s="15"/>
      <c r="J46" s="15"/>
      <c r="K46" s="15"/>
      <c r="L46" s="15"/>
      <c r="M46" s="15"/>
      <c r="N46" s="15"/>
      <c r="O46" s="15"/>
      <c r="P46" s="15"/>
      <c r="Q46" s="15"/>
      <c r="R46" s="15"/>
      <c r="S46" s="15"/>
      <c r="T46" s="25"/>
      <c r="U46" s="15"/>
    </row>
    <row r="47" spans="1:24" x14ac:dyDescent="0.35">
      <c r="A47" s="1" t="s">
        <v>178</v>
      </c>
      <c r="B47" s="15"/>
      <c r="C47" s="1"/>
      <c r="D47" s="15"/>
      <c r="E47" s="15"/>
      <c r="F47" s="15"/>
      <c r="G47" s="15">
        <f>G33+G6</f>
        <v>18269116</v>
      </c>
      <c r="H47" s="15"/>
      <c r="I47" s="15"/>
      <c r="J47" s="15"/>
      <c r="K47" s="15"/>
      <c r="L47" s="15"/>
      <c r="M47" s="15">
        <f>M33+M6</f>
        <v>16015902</v>
      </c>
      <c r="N47" s="15"/>
      <c r="O47" s="15"/>
      <c r="P47" s="15"/>
      <c r="Q47" s="15"/>
      <c r="R47" s="15">
        <f>R33+R6</f>
        <v>8234770</v>
      </c>
      <c r="S47" s="15">
        <f>S33+S6</f>
        <v>24905206</v>
      </c>
      <c r="T47" s="25"/>
      <c r="U47" s="15"/>
    </row>
    <row r="48" spans="1:24" x14ac:dyDescent="0.35">
      <c r="A48" s="61" t="s">
        <v>93</v>
      </c>
      <c r="B48" s="62"/>
      <c r="C48" s="61"/>
      <c r="D48" s="62"/>
      <c r="E48" s="62">
        <f>E6+E33</f>
        <v>14520000</v>
      </c>
      <c r="F48" s="62">
        <f>F6+F33</f>
        <v>45787235</v>
      </c>
      <c r="G48" s="62">
        <f>G8+G33</f>
        <v>37987644.269999996</v>
      </c>
      <c r="H48" s="62"/>
      <c r="I48" s="62"/>
      <c r="J48" s="62"/>
      <c r="K48" s="62"/>
      <c r="L48" s="62"/>
      <c r="M48" s="62">
        <f>M8+M33</f>
        <v>35548665.959999993</v>
      </c>
      <c r="N48" s="62"/>
      <c r="O48" s="62"/>
      <c r="P48" s="62"/>
      <c r="Q48" s="62"/>
      <c r="R48" s="62">
        <f>R8+R33</f>
        <v>21815695.744999994</v>
      </c>
      <c r="S48" s="62">
        <f>S8+S33</f>
        <v>16860260.819999993</v>
      </c>
      <c r="T48" s="62">
        <f>T6+T33</f>
        <v>146001345</v>
      </c>
      <c r="U48" s="62"/>
    </row>
    <row r="49" spans="1:24" x14ac:dyDescent="0.35">
      <c r="A49" s="61" t="s">
        <v>71</v>
      </c>
      <c r="B49" s="62">
        <f>B44+B29</f>
        <v>351124270</v>
      </c>
      <c r="C49" s="61"/>
      <c r="D49" s="62">
        <f t="shared" ref="D49:K49" si="12">D44+D29</f>
        <v>140021418</v>
      </c>
      <c r="E49" s="62">
        <f t="shared" si="12"/>
        <v>26819999.52</v>
      </c>
      <c r="F49" s="62">
        <f t="shared" si="12"/>
        <v>26068706.73</v>
      </c>
      <c r="G49" s="62">
        <f t="shared" si="12"/>
        <v>18454880.309999999</v>
      </c>
      <c r="H49" s="62">
        <f>H44+H29</f>
        <v>4242173</v>
      </c>
      <c r="I49" s="62">
        <f t="shared" si="12"/>
        <v>4336074.72</v>
      </c>
      <c r="J49" s="62">
        <f t="shared" si="12"/>
        <v>2255245.9500000002</v>
      </c>
      <c r="K49" s="62">
        <f t="shared" si="12"/>
        <v>211404.5</v>
      </c>
      <c r="L49" s="62">
        <f>L44+L29</f>
        <v>7409982.1400000006</v>
      </c>
      <c r="M49" s="62">
        <f>M44+M29</f>
        <v>21967740.215</v>
      </c>
      <c r="N49" s="62">
        <f t="shared" ref="N49:Q49" si="13">N44+N29</f>
        <v>1445743</v>
      </c>
      <c r="O49" s="62">
        <f t="shared" si="13"/>
        <v>3174887</v>
      </c>
      <c r="P49" s="62">
        <f t="shared" si="13"/>
        <v>6616493</v>
      </c>
      <c r="Q49" s="62">
        <f t="shared" si="13"/>
        <v>5076547</v>
      </c>
      <c r="R49" s="62">
        <f>R44+R29</f>
        <v>29860640.925000001</v>
      </c>
      <c r="S49" s="62">
        <f>S44+S29</f>
        <v>16503431</v>
      </c>
      <c r="T49" s="62">
        <f>T44+T29</f>
        <v>139675398.69999999</v>
      </c>
      <c r="U49" s="63"/>
      <c r="W49" s="160"/>
      <c r="X49" s="160"/>
    </row>
    <row r="50" spans="1:24" x14ac:dyDescent="0.35">
      <c r="A50" s="2" t="s">
        <v>91</v>
      </c>
      <c r="B50" s="21"/>
      <c r="C50" s="2"/>
      <c r="D50" s="21"/>
      <c r="E50" s="21">
        <f>E48-E49</f>
        <v>-12299999.52</v>
      </c>
      <c r="F50" s="21">
        <f t="shared" ref="F50:S50" si="14">F48-F49</f>
        <v>19718528.27</v>
      </c>
      <c r="G50" s="21">
        <f>G48-G49</f>
        <v>19532763.959999997</v>
      </c>
      <c r="H50" s="21"/>
      <c r="I50" s="21"/>
      <c r="J50" s="21"/>
      <c r="K50" s="21"/>
      <c r="L50" s="21"/>
      <c r="M50" s="21">
        <f t="shared" si="14"/>
        <v>13580925.744999994</v>
      </c>
      <c r="N50" s="21"/>
      <c r="O50" s="21"/>
      <c r="P50" s="21"/>
      <c r="Q50" s="21"/>
      <c r="R50" s="21">
        <f t="shared" si="14"/>
        <v>-8044945.1800000072</v>
      </c>
      <c r="S50" s="21">
        <f t="shared" si="14"/>
        <v>356829.81999999285</v>
      </c>
      <c r="T50" s="26"/>
      <c r="U50" s="15"/>
    </row>
    <row r="51" spans="1:24" ht="18.5" x14ac:dyDescent="0.45">
      <c r="A51" s="18" t="s">
        <v>60</v>
      </c>
      <c r="B51" s="82"/>
      <c r="C51" s="18"/>
      <c r="D51" s="19"/>
      <c r="E51" s="19"/>
      <c r="F51" s="19"/>
      <c r="G51" s="19">
        <f>G33+G6</f>
        <v>18269116</v>
      </c>
      <c r="H51" s="19"/>
      <c r="I51" s="19"/>
      <c r="J51" s="19"/>
      <c r="K51" s="19"/>
      <c r="L51" s="19"/>
      <c r="M51" s="19"/>
      <c r="N51" s="19"/>
      <c r="O51" s="19"/>
      <c r="P51" s="19"/>
      <c r="Q51" s="19"/>
      <c r="R51" s="19"/>
      <c r="S51" s="19"/>
      <c r="T51" s="27"/>
      <c r="U51" s="19"/>
    </row>
    <row r="52" spans="1:24" s="153" customFormat="1" ht="18.5" x14ac:dyDescent="0.45">
      <c r="A52" s="22" t="s">
        <v>46</v>
      </c>
      <c r="B52" s="85" t="s">
        <v>182</v>
      </c>
      <c r="C52" s="49"/>
      <c r="D52" s="42">
        <v>16400000</v>
      </c>
      <c r="E52" s="42"/>
      <c r="F52" s="42"/>
      <c r="G52" s="42"/>
      <c r="H52" s="42"/>
      <c r="I52" s="42"/>
      <c r="J52" s="42"/>
      <c r="K52" s="42"/>
      <c r="L52" s="42"/>
      <c r="M52" s="42"/>
      <c r="N52" s="42"/>
      <c r="O52" s="42"/>
      <c r="P52" s="42"/>
      <c r="Q52" s="42"/>
      <c r="R52" s="42"/>
      <c r="S52" s="42"/>
      <c r="T52" s="51"/>
      <c r="U52" s="42"/>
    </row>
    <row r="53" spans="1:24" x14ac:dyDescent="0.35">
      <c r="A53" s="22" t="s">
        <v>29</v>
      </c>
      <c r="B53" s="52">
        <v>90743268</v>
      </c>
      <c r="C53" s="22"/>
      <c r="D53" s="15">
        <v>45000000</v>
      </c>
      <c r="E53" s="15"/>
      <c r="F53" s="15">
        <v>3500000</v>
      </c>
      <c r="G53" s="15"/>
      <c r="H53" s="15"/>
      <c r="I53" s="15"/>
      <c r="J53" s="15"/>
      <c r="K53" s="15"/>
      <c r="L53" s="15"/>
      <c r="M53" s="15">
        <v>12500000</v>
      </c>
      <c r="N53" s="15"/>
      <c r="O53" s="15"/>
      <c r="P53" s="15"/>
      <c r="Q53" s="15"/>
      <c r="R53" s="15">
        <v>27500000</v>
      </c>
      <c r="S53" s="15"/>
      <c r="T53" s="25">
        <f>SUM(E53:S53)</f>
        <v>43500000</v>
      </c>
      <c r="U53" s="15"/>
    </row>
    <row r="54" spans="1:24" x14ac:dyDescent="0.35">
      <c r="A54" s="4" t="s">
        <v>185</v>
      </c>
      <c r="B54" s="78"/>
      <c r="C54" s="4"/>
      <c r="D54" s="21">
        <f>D53+D52+D49</f>
        <v>201421418</v>
      </c>
      <c r="E54" s="15"/>
      <c r="F54" s="15"/>
      <c r="G54" s="15"/>
      <c r="H54" s="15"/>
      <c r="I54" s="15"/>
      <c r="J54" s="15"/>
      <c r="K54" s="15"/>
      <c r="L54" s="15"/>
      <c r="M54" s="15"/>
      <c r="N54" s="15"/>
      <c r="O54" s="15"/>
      <c r="P54" s="15"/>
      <c r="Q54" s="15"/>
      <c r="R54" s="15"/>
      <c r="S54" s="15"/>
      <c r="T54" s="25"/>
      <c r="U54" s="15"/>
    </row>
    <row r="55" spans="1:24" x14ac:dyDescent="0.35">
      <c r="A55" s="22" t="s">
        <v>75</v>
      </c>
      <c r="B55" s="52">
        <v>58483982</v>
      </c>
      <c r="C55" s="22"/>
      <c r="D55" s="15">
        <v>46780000</v>
      </c>
      <c r="E55" s="15"/>
      <c r="F55" s="15">
        <v>1808000</v>
      </c>
      <c r="G55" s="15"/>
      <c r="H55" s="15"/>
      <c r="I55" s="15"/>
      <c r="J55" s="15"/>
      <c r="K55" s="15"/>
      <c r="L55" s="15"/>
      <c r="M55" s="15">
        <v>4410000</v>
      </c>
      <c r="N55" s="15"/>
      <c r="O55" s="15"/>
      <c r="P55" s="15"/>
      <c r="Q55" s="15"/>
      <c r="R55" s="15">
        <v>27224000</v>
      </c>
      <c r="S55" s="15">
        <v>9994000</v>
      </c>
      <c r="T55" s="25">
        <f>SUM(E55:S55)</f>
        <v>43436000</v>
      </c>
      <c r="U55" s="15" t="s">
        <v>87</v>
      </c>
    </row>
    <row r="56" spans="1:24" x14ac:dyDescent="0.35">
      <c r="A56" s="22" t="s">
        <v>76</v>
      </c>
      <c r="B56" s="52">
        <v>57000000</v>
      </c>
      <c r="C56" s="22"/>
      <c r="D56" s="15">
        <v>45000000</v>
      </c>
      <c r="E56" s="15">
        <v>0</v>
      </c>
      <c r="F56" s="15">
        <v>0</v>
      </c>
      <c r="G56" s="15"/>
      <c r="H56" s="15"/>
      <c r="I56" s="15"/>
      <c r="J56" s="15"/>
      <c r="K56" s="15"/>
      <c r="L56" s="15"/>
      <c r="M56" s="15"/>
      <c r="N56" s="15"/>
      <c r="O56" s="15"/>
      <c r="P56" s="15"/>
      <c r="Q56" s="15"/>
      <c r="R56" s="15"/>
      <c r="S56" s="15">
        <v>1000000</v>
      </c>
      <c r="T56" s="25"/>
      <c r="U56" s="52" t="s">
        <v>88</v>
      </c>
    </row>
    <row r="57" spans="1:24" x14ac:dyDescent="0.35">
      <c r="A57" s="20" t="s">
        <v>57</v>
      </c>
      <c r="B57" s="83">
        <f>SUM(B55:B56)</f>
        <v>115483982</v>
      </c>
      <c r="C57" s="83">
        <f>SUM(C55:C56)</f>
        <v>0</v>
      </c>
      <c r="D57" s="83">
        <f>SUM(D52:D56)</f>
        <v>354601418</v>
      </c>
      <c r="E57" s="83">
        <f t="shared" ref="E57:S57" si="15">SUM(E55:E56)</f>
        <v>0</v>
      </c>
      <c r="F57" s="83">
        <f t="shared" si="15"/>
        <v>1808000</v>
      </c>
      <c r="G57" s="83">
        <f t="shared" si="15"/>
        <v>0</v>
      </c>
      <c r="H57" s="83">
        <f t="shared" si="15"/>
        <v>0</v>
      </c>
      <c r="I57" s="83">
        <f t="shared" si="15"/>
        <v>0</v>
      </c>
      <c r="J57" s="83">
        <f t="shared" si="15"/>
        <v>0</v>
      </c>
      <c r="K57" s="83">
        <f t="shared" si="15"/>
        <v>0</v>
      </c>
      <c r="L57" s="83"/>
      <c r="M57" s="83">
        <f t="shared" si="15"/>
        <v>4410000</v>
      </c>
      <c r="N57" s="83"/>
      <c r="O57" s="83"/>
      <c r="P57" s="83"/>
      <c r="Q57" s="83"/>
      <c r="R57" s="83">
        <f t="shared" si="15"/>
        <v>27224000</v>
      </c>
      <c r="S57" s="83">
        <f t="shared" si="15"/>
        <v>10994000</v>
      </c>
      <c r="T57" s="21">
        <f>SUM(T28:T56)</f>
        <v>622732557.21000004</v>
      </c>
      <c r="U57" s="21"/>
    </row>
    <row r="58" spans="1:24" x14ac:dyDescent="0.35">
      <c r="A58" s="20"/>
      <c r="B58" s="83"/>
      <c r="C58" s="20"/>
      <c r="D58" s="21"/>
      <c r="E58" s="21"/>
      <c r="F58" s="21"/>
      <c r="G58" s="21"/>
      <c r="H58" s="21"/>
      <c r="I58" s="21"/>
      <c r="J58" s="21"/>
      <c r="K58" s="21"/>
      <c r="L58" s="21"/>
      <c r="M58" s="21"/>
      <c r="N58" s="21"/>
      <c r="O58" s="21"/>
      <c r="P58" s="21"/>
      <c r="Q58" s="21"/>
      <c r="R58" s="21"/>
      <c r="S58" s="21"/>
      <c r="T58" s="26"/>
      <c r="U58" s="21"/>
    </row>
    <row r="59" spans="1:24" x14ac:dyDescent="0.35">
      <c r="A59" s="149" t="s">
        <v>179</v>
      </c>
      <c r="B59" s="150"/>
      <c r="C59" s="149"/>
      <c r="D59" s="151"/>
      <c r="E59" s="151"/>
      <c r="F59" s="151"/>
      <c r="G59" s="151"/>
      <c r="H59" s="151"/>
      <c r="I59" s="151"/>
      <c r="J59" s="151"/>
      <c r="K59" s="151"/>
      <c r="L59" s="151"/>
      <c r="M59" s="151"/>
      <c r="N59" s="151"/>
      <c r="O59" s="151"/>
      <c r="P59" s="151"/>
      <c r="Q59" s="151"/>
      <c r="R59" s="151"/>
      <c r="S59" s="151"/>
      <c r="T59" s="152"/>
      <c r="U59" s="151"/>
    </row>
    <row r="60" spans="1:24" ht="21.75" customHeight="1" x14ac:dyDescent="0.35">
      <c r="A60" s="52" t="s">
        <v>129</v>
      </c>
      <c r="B60" s="52"/>
      <c r="C60" s="52"/>
      <c r="D60" s="52">
        <v>287000</v>
      </c>
      <c r="E60" s="52"/>
      <c r="F60" s="52"/>
      <c r="G60" s="52">
        <v>287000</v>
      </c>
      <c r="H60" s="52">
        <v>77500</v>
      </c>
      <c r="I60" s="52">
        <v>77500</v>
      </c>
      <c r="J60" s="52"/>
      <c r="K60" s="52"/>
      <c r="L60" s="52"/>
      <c r="M60" s="52"/>
      <c r="N60" s="52"/>
      <c r="O60" s="52"/>
      <c r="P60" s="52"/>
      <c r="Q60" s="52"/>
      <c r="R60" s="52"/>
      <c r="S60" s="52"/>
      <c r="T60" s="15">
        <f>SUM(E60:S60)-H60-I60-K60</f>
        <v>287000</v>
      </c>
      <c r="U60" s="52"/>
    </row>
    <row r="61" spans="1:24" x14ac:dyDescent="0.35">
      <c r="A61" s="2" t="s">
        <v>79</v>
      </c>
      <c r="B61" s="21"/>
      <c r="C61" s="72"/>
      <c r="D61" s="15">
        <f>50000+41930+50000+43000+69000+37000+38000+100000</f>
        <v>428930</v>
      </c>
      <c r="E61" s="15"/>
      <c r="F61" s="15"/>
      <c r="G61" s="15">
        <v>107233</v>
      </c>
      <c r="H61" s="15"/>
      <c r="I61" s="15"/>
      <c r="J61" s="15"/>
      <c r="K61" s="15"/>
      <c r="L61" s="15"/>
      <c r="M61" s="15">
        <f>428930/4</f>
        <v>107232.5</v>
      </c>
      <c r="N61" s="15"/>
      <c r="O61" s="15"/>
      <c r="P61" s="15"/>
      <c r="Q61" s="15"/>
      <c r="R61" s="15">
        <v>107233</v>
      </c>
      <c r="S61" s="15">
        <v>107233</v>
      </c>
      <c r="T61" s="25">
        <f>SUM(E61:S61)</f>
        <v>428931.5</v>
      </c>
      <c r="U61" s="15"/>
    </row>
    <row r="62" spans="1:24" ht="18.5" x14ac:dyDescent="0.45">
      <c r="A62" s="29" t="s">
        <v>74</v>
      </c>
      <c r="B62" s="84"/>
      <c r="C62" s="29"/>
      <c r="D62" s="46"/>
      <c r="E62" s="37"/>
      <c r="F62" s="37"/>
      <c r="G62" s="37"/>
      <c r="H62" s="37"/>
      <c r="I62" s="37"/>
      <c r="J62" s="37"/>
      <c r="K62" s="37"/>
      <c r="L62" s="37"/>
      <c r="M62" s="37"/>
      <c r="N62" s="37"/>
      <c r="O62" s="37"/>
      <c r="P62" s="37"/>
      <c r="Q62" s="37"/>
      <c r="R62" s="37"/>
      <c r="S62" s="37"/>
      <c r="T62" s="38"/>
      <c r="U62" s="37"/>
    </row>
    <row r="63" spans="1:24" ht="18.5" x14ac:dyDescent="0.45">
      <c r="A63" s="49" t="s">
        <v>84</v>
      </c>
      <c r="B63" s="85"/>
      <c r="C63" s="49"/>
      <c r="D63" s="50">
        <v>12100000</v>
      </c>
      <c r="E63" s="42"/>
      <c r="F63" s="42"/>
      <c r="G63" s="50">
        <f>D63</f>
        <v>12100000</v>
      </c>
      <c r="H63" s="50"/>
      <c r="I63" s="50"/>
      <c r="J63" s="50"/>
      <c r="K63" s="50"/>
      <c r="L63" s="50"/>
      <c r="M63" s="50">
        <f>D63-SUM(H65:K65)</f>
        <v>11425625</v>
      </c>
      <c r="N63" s="50"/>
      <c r="O63" s="50"/>
      <c r="P63" s="50"/>
      <c r="Q63" s="50"/>
      <c r="R63" s="50"/>
      <c r="S63" s="50"/>
      <c r="T63" s="51"/>
      <c r="U63" s="42"/>
    </row>
    <row r="64" spans="1:24" x14ac:dyDescent="0.35">
      <c r="A64" s="1" t="s">
        <v>78</v>
      </c>
      <c r="B64" s="15"/>
      <c r="C64" s="1"/>
      <c r="D64" s="15">
        <v>3200000</v>
      </c>
      <c r="E64" s="15"/>
      <c r="F64" s="15"/>
      <c r="G64" s="15">
        <v>1275000</v>
      </c>
      <c r="H64" s="15">
        <v>150096.46</v>
      </c>
      <c r="I64" s="15">
        <f>674375-H64</f>
        <v>524278.54000000004</v>
      </c>
      <c r="J64" s="15"/>
      <c r="K64" s="15"/>
      <c r="L64" s="15"/>
      <c r="M64" s="15">
        <f>3200000-1275000</f>
        <v>1925000</v>
      </c>
      <c r="N64" s="15"/>
      <c r="O64" s="15"/>
      <c r="P64" s="15"/>
      <c r="Q64" s="15"/>
      <c r="R64" s="15"/>
      <c r="S64" s="15"/>
      <c r="T64" s="25">
        <f>G64+M64</f>
        <v>3200000</v>
      </c>
      <c r="U64" s="15"/>
    </row>
    <row r="65" spans="1:21" x14ac:dyDescent="0.35">
      <c r="A65" s="2" t="s">
        <v>57</v>
      </c>
      <c r="B65" s="21">
        <f>SUM(B64:B64)</f>
        <v>0</v>
      </c>
      <c r="C65" s="2"/>
      <c r="D65" s="21">
        <f t="shared" ref="D65:J65" si="16">SUM(D64:D64)</f>
        <v>3200000</v>
      </c>
      <c r="E65" s="21">
        <f t="shared" si="16"/>
        <v>0</v>
      </c>
      <c r="F65" s="21">
        <f t="shared" si="16"/>
        <v>0</v>
      </c>
      <c r="G65" s="21">
        <f t="shared" si="16"/>
        <v>1275000</v>
      </c>
      <c r="H65" s="21">
        <f t="shared" si="16"/>
        <v>150096.46</v>
      </c>
      <c r="I65" s="21">
        <f t="shared" si="16"/>
        <v>524278.54000000004</v>
      </c>
      <c r="J65" s="21">
        <f t="shared" si="16"/>
        <v>0</v>
      </c>
      <c r="K65" s="21"/>
      <c r="L65" s="21"/>
      <c r="M65" s="21">
        <f>SUM(M64:M64)</f>
        <v>1925000</v>
      </c>
      <c r="N65" s="21"/>
      <c r="O65" s="21"/>
      <c r="P65" s="21"/>
      <c r="Q65" s="21"/>
      <c r="R65" s="21">
        <f>SUM(R64:R64)</f>
        <v>0</v>
      </c>
      <c r="S65" s="21">
        <f>SUM(S64:S64)</f>
        <v>0</v>
      </c>
      <c r="T65" s="21">
        <f>SUM(T64:T64)</f>
        <v>3200000</v>
      </c>
      <c r="U65" s="15"/>
    </row>
    <row r="67" spans="1:21" ht="15.5" x14ac:dyDescent="0.35">
      <c r="A67" s="47" t="s">
        <v>83</v>
      </c>
      <c r="B67" s="48">
        <f>B65+B57+B49</f>
        <v>466608252</v>
      </c>
      <c r="C67" s="47"/>
      <c r="D67" s="48">
        <f>D65+D57+D49</f>
        <v>497822836</v>
      </c>
      <c r="E67" s="48">
        <f>E65+E57+E49</f>
        <v>26819999.52</v>
      </c>
      <c r="F67" s="48">
        <f>F65+F57+F49</f>
        <v>27876706.73</v>
      </c>
      <c r="G67" s="48">
        <f>G65+G57+G49</f>
        <v>19729880.309999999</v>
      </c>
      <c r="H67" s="48">
        <f>H65+H57+H49</f>
        <v>4392269.46</v>
      </c>
      <c r="I67" s="48"/>
      <c r="J67" s="48"/>
      <c r="K67" s="48"/>
      <c r="L67" s="48"/>
      <c r="M67" s="48">
        <f>M65+M57+M49</f>
        <v>28302740.215</v>
      </c>
      <c r="N67" s="48"/>
      <c r="O67" s="48"/>
      <c r="P67" s="48"/>
      <c r="Q67" s="48"/>
      <c r="R67" s="48">
        <f>R65+R57+R49</f>
        <v>57084640.924999997</v>
      </c>
      <c r="S67" s="48">
        <f>S65+S57+S49</f>
        <v>27497431</v>
      </c>
      <c r="T67" s="48">
        <f>SUM(E67:S67)</f>
        <v>191703668.16</v>
      </c>
    </row>
    <row r="70" spans="1:21" x14ac:dyDescent="0.35">
      <c r="G70" s="39">
        <f>2752443/32</f>
        <v>86013.84375</v>
      </c>
    </row>
    <row r="71" spans="1:21" x14ac:dyDescent="0.35">
      <c r="G71" s="173">
        <f>G70*16</f>
        <v>1376221.5</v>
      </c>
    </row>
  </sheetData>
  <pageMargins left="0.70866141732283472" right="0.70866141732283472" top="0.74803149606299213" bottom="0.74803149606299213" header="0.31496062992125984" footer="0.31496062992125984"/>
  <pageSetup paperSize="9" scale="3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3"/>
  <sheetViews>
    <sheetView workbookViewId="0"/>
  </sheetViews>
  <sheetFormatPr defaultRowHeight="14.5" x14ac:dyDescent="0.35"/>
  <cols>
    <col min="1" max="1" width="36.1796875" customWidth="1"/>
    <col min="2" max="2" width="18.81640625" customWidth="1"/>
    <col min="3" max="3" width="13.1796875" customWidth="1"/>
    <col min="4" max="4" width="16.81640625" customWidth="1"/>
  </cols>
  <sheetData>
    <row r="1" spans="1:4" x14ac:dyDescent="0.35">
      <c r="A1" s="171" t="s">
        <v>191</v>
      </c>
      <c r="B1" s="172" t="s">
        <v>188</v>
      </c>
      <c r="C1" t="s">
        <v>189</v>
      </c>
      <c r="D1" t="s">
        <v>190</v>
      </c>
    </row>
    <row r="2" spans="1:4" x14ac:dyDescent="0.35">
      <c r="A2" s="163" t="s">
        <v>39</v>
      </c>
      <c r="B2" s="1"/>
      <c r="C2" s="1"/>
      <c r="D2" s="1"/>
    </row>
    <row r="3" spans="1:4" x14ac:dyDescent="0.35">
      <c r="A3" s="163" t="s">
        <v>41</v>
      </c>
      <c r="B3" s="1"/>
      <c r="C3" s="1"/>
      <c r="D3" s="1"/>
    </row>
    <row r="4" spans="1:4" x14ac:dyDescent="0.35">
      <c r="A4" s="163" t="s">
        <v>180</v>
      </c>
      <c r="B4" s="1"/>
      <c r="C4" s="1"/>
      <c r="D4" s="1"/>
    </row>
    <row r="5" spans="1:4" ht="29" x14ac:dyDescent="0.35">
      <c r="A5" s="163" t="s">
        <v>181</v>
      </c>
      <c r="B5" s="1"/>
      <c r="C5" s="1"/>
      <c r="D5" s="1"/>
    </row>
    <row r="6" spans="1:4" x14ac:dyDescent="0.35">
      <c r="A6" s="163" t="s">
        <v>141</v>
      </c>
      <c r="B6" s="1"/>
      <c r="C6" s="1"/>
      <c r="D6" s="1"/>
    </row>
    <row r="7" spans="1:4" x14ac:dyDescent="0.35">
      <c r="A7" s="164" t="s">
        <v>184</v>
      </c>
      <c r="B7" s="1"/>
      <c r="C7" s="1"/>
      <c r="D7" s="1"/>
    </row>
    <row r="8" spans="1:4" x14ac:dyDescent="0.35">
      <c r="A8" s="163" t="s">
        <v>18</v>
      </c>
      <c r="B8" s="1"/>
      <c r="C8" s="1"/>
      <c r="D8" s="1"/>
    </row>
    <row r="9" spans="1:4" x14ac:dyDescent="0.35">
      <c r="A9" s="163" t="s">
        <v>22</v>
      </c>
      <c r="B9" s="1"/>
      <c r="C9" s="1"/>
      <c r="D9" s="1"/>
    </row>
    <row r="10" spans="1:4" ht="29" x14ac:dyDescent="0.35">
      <c r="A10" s="163" t="s">
        <v>73</v>
      </c>
      <c r="B10" s="1"/>
      <c r="C10" s="1"/>
      <c r="D10" s="1"/>
    </row>
    <row r="11" spans="1:4" x14ac:dyDescent="0.35">
      <c r="A11" s="163" t="s">
        <v>24</v>
      </c>
      <c r="B11" s="1"/>
      <c r="C11" s="1"/>
      <c r="D11" s="1"/>
    </row>
    <row r="12" spans="1:4" ht="29" x14ac:dyDescent="0.35">
      <c r="A12" s="163" t="s">
        <v>25</v>
      </c>
      <c r="B12" s="1"/>
      <c r="C12" s="1"/>
      <c r="D12" s="1"/>
    </row>
    <row r="13" spans="1:4" x14ac:dyDescent="0.35">
      <c r="A13" s="163" t="s">
        <v>26</v>
      </c>
      <c r="B13" s="1"/>
      <c r="C13" s="1"/>
      <c r="D13" s="1"/>
    </row>
    <row r="14" spans="1:4" ht="29" x14ac:dyDescent="0.35">
      <c r="A14" s="163" t="s">
        <v>174</v>
      </c>
      <c r="B14" s="1"/>
      <c r="C14" s="1"/>
      <c r="D14" s="1"/>
    </row>
    <row r="15" spans="1:4" x14ac:dyDescent="0.35">
      <c r="A15" s="163" t="s">
        <v>142</v>
      </c>
      <c r="B15" s="1"/>
      <c r="C15" s="1"/>
      <c r="D15" s="1"/>
    </row>
    <row r="16" spans="1:4" x14ac:dyDescent="0.35">
      <c r="A16" s="165" t="s">
        <v>37</v>
      </c>
      <c r="B16" s="1"/>
      <c r="C16" s="1"/>
      <c r="D16" s="1"/>
    </row>
    <row r="17" spans="1:4" x14ac:dyDescent="0.35">
      <c r="A17" s="166" t="s">
        <v>36</v>
      </c>
      <c r="B17" s="1"/>
      <c r="C17" s="1"/>
      <c r="D17" s="1"/>
    </row>
    <row r="18" spans="1:4" x14ac:dyDescent="0.35">
      <c r="A18" s="163" t="s">
        <v>35</v>
      </c>
      <c r="B18" s="1"/>
      <c r="C18" s="1"/>
      <c r="D18" s="1"/>
    </row>
    <row r="19" spans="1:4" ht="29" x14ac:dyDescent="0.35">
      <c r="A19" s="163" t="s">
        <v>58</v>
      </c>
      <c r="B19" s="1"/>
      <c r="C19" s="1"/>
      <c r="D19" s="1"/>
    </row>
    <row r="20" spans="1:4" x14ac:dyDescent="0.35">
      <c r="A20" s="163" t="s">
        <v>46</v>
      </c>
      <c r="B20" s="1"/>
      <c r="C20" s="1"/>
      <c r="D20" s="1"/>
    </row>
    <row r="21" spans="1:4" x14ac:dyDescent="0.35">
      <c r="A21" s="167" t="s">
        <v>72</v>
      </c>
      <c r="B21" s="1"/>
      <c r="C21" s="1"/>
      <c r="D21" s="1"/>
    </row>
    <row r="22" spans="1:4" x14ac:dyDescent="0.35">
      <c r="A22" s="163" t="s">
        <v>89</v>
      </c>
      <c r="B22" s="1"/>
      <c r="C22" s="1"/>
      <c r="D22" s="1"/>
    </row>
    <row r="23" spans="1:4" x14ac:dyDescent="0.35">
      <c r="A23" s="163"/>
      <c r="B23" s="1"/>
      <c r="C23" s="1"/>
      <c r="D23" s="1"/>
    </row>
    <row r="24" spans="1:4" ht="21" x14ac:dyDescent="0.5">
      <c r="A24" s="168" t="s">
        <v>62</v>
      </c>
      <c r="B24" s="1"/>
      <c r="C24" s="1"/>
      <c r="D24" s="1"/>
    </row>
    <row r="25" spans="1:4" ht="21" x14ac:dyDescent="0.5">
      <c r="A25" s="169" t="s">
        <v>81</v>
      </c>
      <c r="B25" s="1"/>
      <c r="C25" s="1"/>
      <c r="D25" s="1"/>
    </row>
    <row r="26" spans="1:4" ht="29" x14ac:dyDescent="0.35">
      <c r="A26" s="64" t="s">
        <v>94</v>
      </c>
      <c r="B26" s="1"/>
      <c r="C26" s="1"/>
      <c r="D26" s="1"/>
    </row>
    <row r="27" spans="1:4" x14ac:dyDescent="0.35">
      <c r="A27" s="170" t="s">
        <v>65</v>
      </c>
      <c r="B27" s="1"/>
      <c r="C27" s="1"/>
      <c r="D27" s="1"/>
    </row>
    <row r="28" spans="1:4" x14ac:dyDescent="0.35">
      <c r="A28" s="170" t="s">
        <v>69</v>
      </c>
      <c r="B28" s="1"/>
      <c r="C28" s="1"/>
      <c r="D28" s="1"/>
    </row>
    <row r="29" spans="1:4" x14ac:dyDescent="0.35">
      <c r="A29" s="170" t="s">
        <v>66</v>
      </c>
      <c r="B29" s="1"/>
      <c r="C29" s="1"/>
      <c r="D29" s="1"/>
    </row>
    <row r="30" spans="1:4" x14ac:dyDescent="0.35">
      <c r="A30" s="170" t="s">
        <v>68</v>
      </c>
      <c r="B30" s="1"/>
      <c r="C30" s="1"/>
      <c r="D30" s="1"/>
    </row>
    <row r="31" spans="1:4" x14ac:dyDescent="0.35">
      <c r="A31" s="170" t="s">
        <v>63</v>
      </c>
      <c r="B31" s="1"/>
      <c r="C31" s="1"/>
      <c r="D31" s="1"/>
    </row>
    <row r="32" spans="1:4" x14ac:dyDescent="0.35">
      <c r="A32" s="170" t="s">
        <v>64</v>
      </c>
      <c r="B32" s="1"/>
      <c r="C32" s="1"/>
      <c r="D32" s="1"/>
    </row>
    <row r="33" spans="1:4" x14ac:dyDescent="0.35">
      <c r="A33" s="170" t="s">
        <v>67</v>
      </c>
      <c r="B33" s="1"/>
      <c r="C33" s="1"/>
      <c r="D33" s="1"/>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4"/>
  <sheetViews>
    <sheetView workbookViewId="0">
      <selection activeCell="E6" sqref="E6"/>
    </sheetView>
  </sheetViews>
  <sheetFormatPr defaultRowHeight="14.5" x14ac:dyDescent="0.35"/>
  <cols>
    <col min="1" max="1" width="57" bestFit="1" customWidth="1"/>
    <col min="2" max="2" width="12.54296875" bestFit="1" customWidth="1"/>
    <col min="3" max="3" width="8" bestFit="1" customWidth="1"/>
    <col min="4" max="4" width="12.54296875" bestFit="1" customWidth="1"/>
    <col min="5" max="5" width="12.54296875" customWidth="1"/>
    <col min="6" max="6" width="50.81640625" style="86" customWidth="1"/>
  </cols>
  <sheetData>
    <row r="1" spans="1:6" x14ac:dyDescent="0.35">
      <c r="A1" t="s">
        <v>127</v>
      </c>
    </row>
    <row r="2" spans="1:6" x14ac:dyDescent="0.35">
      <c r="A2" s="3"/>
      <c r="B2" s="3"/>
      <c r="C2" s="3"/>
      <c r="D2" s="3"/>
      <c r="E2" s="3"/>
      <c r="F2" s="96"/>
    </row>
    <row r="3" spans="1:6" ht="43.5" x14ac:dyDescent="0.35">
      <c r="A3" s="92"/>
      <c r="B3" s="111" t="s">
        <v>97</v>
      </c>
      <c r="C3" s="111" t="s">
        <v>114</v>
      </c>
      <c r="D3" s="111" t="s">
        <v>98</v>
      </c>
      <c r="E3" s="111" t="s">
        <v>103</v>
      </c>
      <c r="F3" s="111" t="s">
        <v>102</v>
      </c>
    </row>
    <row r="4" spans="1:6" ht="21" x14ac:dyDescent="0.5">
      <c r="A4" s="101" t="s">
        <v>99</v>
      </c>
      <c r="B4" s="102"/>
      <c r="C4" s="102"/>
      <c r="D4" s="102"/>
      <c r="E4" s="102"/>
      <c r="F4" s="102"/>
    </row>
    <row r="5" spans="1:6" ht="58" x14ac:dyDescent="0.35">
      <c r="A5" s="22" t="s">
        <v>18</v>
      </c>
      <c r="B5" s="52">
        <v>10497000</v>
      </c>
      <c r="C5" s="69">
        <f>D5/B5*100</f>
        <v>55.730208631037435</v>
      </c>
      <c r="D5" s="15">
        <v>5850000</v>
      </c>
      <c r="E5" s="15">
        <f>1311365</f>
        <v>1311365</v>
      </c>
      <c r="F5" s="87" t="s">
        <v>108</v>
      </c>
    </row>
    <row r="6" spans="1:6" ht="72.5" x14ac:dyDescent="0.35">
      <c r="A6" s="22" t="s">
        <v>22</v>
      </c>
      <c r="B6" s="52">
        <v>7423000</v>
      </c>
      <c r="C6" s="69">
        <f t="shared" ref="C6:C24" si="0">D6/B6*100</f>
        <v>44.456419237505052</v>
      </c>
      <c r="D6" s="15">
        <v>3300000</v>
      </c>
      <c r="E6" s="15">
        <v>1193328</v>
      </c>
      <c r="F6" s="87" t="s">
        <v>107</v>
      </c>
    </row>
    <row r="7" spans="1:6" ht="29" x14ac:dyDescent="0.35">
      <c r="A7" s="90" t="s">
        <v>94</v>
      </c>
      <c r="B7" s="91">
        <v>97000000</v>
      </c>
      <c r="C7" s="72">
        <f>D7/B7*100</f>
        <v>10.309278350515463</v>
      </c>
      <c r="D7" s="15">
        <v>10000000</v>
      </c>
      <c r="E7" s="15">
        <v>0</v>
      </c>
      <c r="F7" s="87" t="s">
        <v>111</v>
      </c>
    </row>
    <row r="8" spans="1:6" ht="29" x14ac:dyDescent="0.35">
      <c r="A8" s="22" t="s">
        <v>46</v>
      </c>
      <c r="B8" s="52">
        <v>38000000</v>
      </c>
      <c r="C8" s="22">
        <f>D8/B8*100</f>
        <v>43.15789473684211</v>
      </c>
      <c r="D8" s="15">
        <v>16400000</v>
      </c>
      <c r="E8" s="15">
        <f>2578616+755360+26059</f>
        <v>3360035</v>
      </c>
      <c r="F8" s="87" t="s">
        <v>112</v>
      </c>
    </row>
    <row r="9" spans="1:6" ht="29" x14ac:dyDescent="0.35">
      <c r="A9" s="22" t="s">
        <v>75</v>
      </c>
      <c r="B9" s="52">
        <v>58483982</v>
      </c>
      <c r="C9" s="22">
        <f>D9/B9*100</f>
        <v>79.987713558902328</v>
      </c>
      <c r="D9" s="15">
        <v>46780000</v>
      </c>
      <c r="E9" s="15">
        <v>2061513</v>
      </c>
      <c r="F9" s="87" t="s">
        <v>106</v>
      </c>
    </row>
    <row r="10" spans="1:6" ht="43.5" x14ac:dyDescent="0.35">
      <c r="A10" s="22" t="s">
        <v>29</v>
      </c>
      <c r="B10" s="52">
        <v>90743268</v>
      </c>
      <c r="C10" s="22">
        <f t="shared" ref="C10:C11" si="1">D10/B10*100</f>
        <v>49.590455569662758</v>
      </c>
      <c r="D10" s="15">
        <v>45000000</v>
      </c>
      <c r="E10" s="15">
        <v>7222090</v>
      </c>
      <c r="F10" s="87" t="s">
        <v>113</v>
      </c>
    </row>
    <row r="11" spans="1:6" ht="29" x14ac:dyDescent="0.35">
      <c r="A11" s="22" t="s">
        <v>76</v>
      </c>
      <c r="B11" s="52">
        <v>57000000</v>
      </c>
      <c r="C11" s="22">
        <f t="shared" si="1"/>
        <v>78.94736842105263</v>
      </c>
      <c r="D11" s="15">
        <v>45000000</v>
      </c>
      <c r="E11" s="15">
        <v>585313</v>
      </c>
      <c r="F11" s="87" t="s">
        <v>115</v>
      </c>
    </row>
    <row r="12" spans="1:6" x14ac:dyDescent="0.35">
      <c r="A12" s="93" t="s">
        <v>57</v>
      </c>
      <c r="B12" s="94">
        <f>SUM(B5:B11)</f>
        <v>359147250</v>
      </c>
      <c r="C12" s="94"/>
      <c r="D12" s="94">
        <f>SUM(D5:D11)</f>
        <v>172330000</v>
      </c>
      <c r="E12" s="94">
        <f>SUM(E5:E11)</f>
        <v>15733644</v>
      </c>
      <c r="F12" s="87"/>
    </row>
    <row r="13" spans="1:6" x14ac:dyDescent="0.35">
      <c r="A13" s="90"/>
      <c r="B13" s="91"/>
      <c r="C13" s="72"/>
      <c r="D13" s="15"/>
      <c r="E13" s="15"/>
      <c r="F13" s="87"/>
    </row>
    <row r="14" spans="1:6" ht="21" x14ac:dyDescent="0.5">
      <c r="A14" s="28" t="s">
        <v>100</v>
      </c>
      <c r="B14" s="108"/>
      <c r="C14" s="109"/>
      <c r="D14" s="36"/>
      <c r="E14" s="36"/>
      <c r="F14" s="100"/>
    </row>
    <row r="15" spans="1:6" ht="43.5" x14ac:dyDescent="0.35">
      <c r="A15" s="22" t="s">
        <v>35</v>
      </c>
      <c r="B15" s="52">
        <v>35000000</v>
      </c>
      <c r="C15" s="69">
        <f>D15/B15*100</f>
        <v>23.805714285714284</v>
      </c>
      <c r="D15" s="15">
        <v>8332000</v>
      </c>
      <c r="E15" s="15">
        <v>50000</v>
      </c>
      <c r="F15" s="87" t="s">
        <v>116</v>
      </c>
    </row>
    <row r="16" spans="1:6" x14ac:dyDescent="0.35">
      <c r="A16" s="22" t="s">
        <v>39</v>
      </c>
      <c r="B16" s="52">
        <v>21000000</v>
      </c>
      <c r="C16" s="69">
        <f>D16/B16*100</f>
        <v>64.285714285714292</v>
      </c>
      <c r="D16" s="15">
        <v>13500000</v>
      </c>
      <c r="E16" s="15">
        <v>21000000</v>
      </c>
      <c r="F16" s="87" t="s">
        <v>109</v>
      </c>
    </row>
    <row r="17" spans="1:6" ht="43.5" x14ac:dyDescent="0.35">
      <c r="A17" s="1" t="s">
        <v>65</v>
      </c>
      <c r="B17" s="15">
        <v>5000000</v>
      </c>
      <c r="C17" s="72">
        <f>D17/B17*100</f>
        <v>76</v>
      </c>
      <c r="D17" s="15">
        <v>3800000</v>
      </c>
      <c r="E17" s="15">
        <v>0</v>
      </c>
      <c r="F17" s="87" t="s">
        <v>117</v>
      </c>
    </row>
    <row r="18" spans="1:6" ht="29" x14ac:dyDescent="0.35">
      <c r="A18" s="1" t="s">
        <v>69</v>
      </c>
      <c r="B18" s="15">
        <v>5427000</v>
      </c>
      <c r="C18" s="72">
        <f>D18/B18*100</f>
        <v>67.495854063018243</v>
      </c>
      <c r="D18" s="15">
        <f>3700000*0.99</f>
        <v>3663000</v>
      </c>
      <c r="E18" s="15">
        <v>0</v>
      </c>
      <c r="F18" s="87" t="s">
        <v>118</v>
      </c>
    </row>
    <row r="19" spans="1:6" x14ac:dyDescent="0.35">
      <c r="A19" s="4" t="s">
        <v>104</v>
      </c>
      <c r="B19" s="78">
        <f>SUM(B15:B18)</f>
        <v>66427000</v>
      </c>
      <c r="C19" s="78"/>
      <c r="D19" s="78">
        <f>SUM(D15:D18)</f>
        <v>29295000</v>
      </c>
      <c r="E19" s="78">
        <f>SUM(E15:E18)</f>
        <v>21050000</v>
      </c>
      <c r="F19" s="87"/>
    </row>
    <row r="20" spans="1:6" x14ac:dyDescent="0.35">
      <c r="A20" s="4"/>
      <c r="B20" s="78"/>
      <c r="C20" s="78"/>
      <c r="D20" s="78"/>
      <c r="E20" s="78"/>
      <c r="F20" s="87"/>
    </row>
    <row r="21" spans="1:6" ht="21" x14ac:dyDescent="0.5">
      <c r="A21" s="103" t="s">
        <v>101</v>
      </c>
      <c r="B21" s="104"/>
      <c r="C21" s="105"/>
      <c r="D21" s="106"/>
      <c r="E21" s="106"/>
      <c r="F21" s="97"/>
    </row>
    <row r="22" spans="1:6" ht="29" x14ac:dyDescent="0.35">
      <c r="A22" s="22" t="s">
        <v>42</v>
      </c>
      <c r="B22" s="52">
        <v>11690000</v>
      </c>
      <c r="C22" s="69">
        <f t="shared" si="0"/>
        <v>42.771599657827203</v>
      </c>
      <c r="D22" s="15">
        <v>5000000</v>
      </c>
      <c r="E22" s="15">
        <f>3020000</f>
        <v>3020000</v>
      </c>
      <c r="F22" s="87" t="s">
        <v>120</v>
      </c>
    </row>
    <row r="23" spans="1:6" ht="43.5" x14ac:dyDescent="0.35">
      <c r="A23" s="88" t="s">
        <v>37</v>
      </c>
      <c r="B23" s="89">
        <v>19350000</v>
      </c>
      <c r="C23" s="69">
        <f t="shared" si="0"/>
        <v>27.390180878552972</v>
      </c>
      <c r="D23" s="15">
        <v>5300000</v>
      </c>
      <c r="E23" s="15">
        <f>2462000+295000</f>
        <v>2757000</v>
      </c>
      <c r="F23" s="87" t="s">
        <v>119</v>
      </c>
    </row>
    <row r="24" spans="1:6" ht="29" x14ac:dyDescent="0.35">
      <c r="A24" s="24" t="s">
        <v>36</v>
      </c>
      <c r="B24" s="77">
        <v>18415000</v>
      </c>
      <c r="C24" s="69">
        <f t="shared" si="0"/>
        <v>35.460222644583226</v>
      </c>
      <c r="D24" s="15">
        <v>6530000</v>
      </c>
      <c r="E24" s="15">
        <f>1983000+262000</f>
        <v>2245000</v>
      </c>
      <c r="F24" s="87" t="s">
        <v>121</v>
      </c>
    </row>
    <row r="25" spans="1:6" ht="29" x14ac:dyDescent="0.35">
      <c r="A25" s="1" t="s">
        <v>66</v>
      </c>
      <c r="B25" s="15">
        <v>35000000</v>
      </c>
      <c r="C25" s="72">
        <f t="shared" ref="C25:C33" si="2">D25/B25*100</f>
        <v>19.714285714285715</v>
      </c>
      <c r="D25" s="15">
        <v>6900000</v>
      </c>
      <c r="E25" s="15">
        <v>0</v>
      </c>
      <c r="F25" s="87" t="s">
        <v>126</v>
      </c>
    </row>
    <row r="26" spans="1:6" x14ac:dyDescent="0.35">
      <c r="A26" s="22" t="s">
        <v>38</v>
      </c>
      <c r="B26" s="52">
        <v>3620000</v>
      </c>
      <c r="C26" s="69">
        <f>D26/B26*100</f>
        <v>59.11602209944752</v>
      </c>
      <c r="D26" s="15">
        <v>2140000</v>
      </c>
      <c r="E26" s="15">
        <v>3620000</v>
      </c>
      <c r="F26" s="87" t="s">
        <v>110</v>
      </c>
    </row>
    <row r="27" spans="1:6" x14ac:dyDescent="0.35">
      <c r="A27" s="1" t="s">
        <v>68</v>
      </c>
      <c r="B27" s="15">
        <v>6465000</v>
      </c>
      <c r="C27" s="72">
        <f t="shared" si="2"/>
        <v>66.51198762567671</v>
      </c>
      <c r="D27" s="15">
        <v>4300000</v>
      </c>
      <c r="E27" s="15">
        <v>0</v>
      </c>
      <c r="F27" s="87" t="s">
        <v>122</v>
      </c>
    </row>
    <row r="28" spans="1:6" x14ac:dyDescent="0.35">
      <c r="A28" s="2" t="s">
        <v>57</v>
      </c>
      <c r="B28" s="21">
        <f>SUM(B22:B27)</f>
        <v>94540000</v>
      </c>
      <c r="C28" s="21"/>
      <c r="D28" s="21">
        <f>SUM(D22:D27)</f>
        <v>30170000</v>
      </c>
      <c r="E28" s="21">
        <f>SUM(E22:E27)</f>
        <v>11642000</v>
      </c>
      <c r="F28" s="87"/>
    </row>
    <row r="29" spans="1:6" x14ac:dyDescent="0.35">
      <c r="A29" s="1"/>
      <c r="B29" s="15"/>
      <c r="C29" s="72"/>
      <c r="D29" s="15"/>
      <c r="E29" s="15"/>
      <c r="F29" s="87"/>
    </row>
    <row r="30" spans="1:6" ht="21" x14ac:dyDescent="0.5">
      <c r="A30" s="98" t="s">
        <v>105</v>
      </c>
      <c r="B30" s="107"/>
      <c r="C30" s="110"/>
      <c r="D30" s="107"/>
      <c r="E30" s="107"/>
      <c r="F30" s="99"/>
    </row>
    <row r="31" spans="1:6" ht="29" x14ac:dyDescent="0.35">
      <c r="A31" s="1" t="s">
        <v>63</v>
      </c>
      <c r="B31" s="15">
        <v>5000000</v>
      </c>
      <c r="C31" s="72">
        <f t="shared" si="2"/>
        <v>100</v>
      </c>
      <c r="D31" s="15">
        <v>5000000</v>
      </c>
      <c r="E31" s="15"/>
      <c r="F31" s="87" t="s">
        <v>125</v>
      </c>
    </row>
    <row r="32" spans="1:6" ht="29" x14ac:dyDescent="0.35">
      <c r="A32" s="1" t="s">
        <v>64</v>
      </c>
      <c r="B32" s="15">
        <v>4151070</v>
      </c>
      <c r="C32" s="72">
        <f t="shared" si="2"/>
        <v>100</v>
      </c>
      <c r="D32" s="15">
        <f>4193000*0.99</f>
        <v>4151070</v>
      </c>
      <c r="E32" s="15"/>
      <c r="F32" s="87" t="s">
        <v>124</v>
      </c>
    </row>
    <row r="33" spans="1:6" ht="29" x14ac:dyDescent="0.35">
      <c r="A33" s="1" t="s">
        <v>67</v>
      </c>
      <c r="B33" s="15">
        <v>14250000</v>
      </c>
      <c r="C33" s="72">
        <f t="shared" si="2"/>
        <v>35.087719298245609</v>
      </c>
      <c r="D33" s="15">
        <v>5000000</v>
      </c>
      <c r="E33" s="15"/>
      <c r="F33" s="87" t="s">
        <v>123</v>
      </c>
    </row>
    <row r="34" spans="1:6" x14ac:dyDescent="0.35">
      <c r="A34" s="2" t="s">
        <v>57</v>
      </c>
      <c r="B34" s="95">
        <f>SUM(B31:B33)</f>
        <v>23401070</v>
      </c>
      <c r="C34" s="95"/>
      <c r="D34" s="95">
        <f t="shared" ref="D34" si="3">SUM(D31:D33)</f>
        <v>14151070</v>
      </c>
      <c r="E34" s="1"/>
      <c r="F34" s="87"/>
    </row>
  </sheetData>
  <pageMargins left="0.70866141732283472" right="0.70866141732283472" top="0.74803149606299213" bottom="0.74803149606299213" header="0.31496062992125984" footer="0.31496062992125984"/>
  <pageSetup paperSize="9" scale="52"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5"/>
  <sheetViews>
    <sheetView workbookViewId="0">
      <selection activeCell="B8" sqref="B8"/>
    </sheetView>
  </sheetViews>
  <sheetFormatPr defaultRowHeight="14.5" x14ac:dyDescent="0.35"/>
  <cols>
    <col min="1" max="1" width="42.453125" bestFit="1" customWidth="1"/>
    <col min="2" max="2" width="46.7265625" customWidth="1"/>
    <col min="3" max="4" width="11.54296875" bestFit="1" customWidth="1"/>
  </cols>
  <sheetData>
    <row r="1" spans="1:11" ht="18.5" x14ac:dyDescent="0.45">
      <c r="A1" s="138" t="s">
        <v>160</v>
      </c>
      <c r="B1" s="139" t="s">
        <v>172</v>
      </c>
    </row>
    <row r="3" spans="1:11" ht="31" x14ac:dyDescent="0.35">
      <c r="A3" s="115" t="s">
        <v>133</v>
      </c>
      <c r="B3" s="115" t="s">
        <v>77</v>
      </c>
      <c r="C3" s="115" t="s">
        <v>134</v>
      </c>
      <c r="D3" s="115" t="s">
        <v>167</v>
      </c>
      <c r="E3" s="115" t="s">
        <v>135</v>
      </c>
    </row>
    <row r="4" spans="1:11" ht="15.5" x14ac:dyDescent="0.35">
      <c r="A4" s="132" t="s">
        <v>136</v>
      </c>
      <c r="B4" s="133"/>
      <c r="C4" s="133"/>
      <c r="D4" s="133"/>
      <c r="E4" s="134"/>
    </row>
    <row r="5" spans="1:11" ht="29" x14ac:dyDescent="0.35">
      <c r="A5" s="22" t="s">
        <v>18</v>
      </c>
      <c r="B5" s="22" t="s">
        <v>138</v>
      </c>
      <c r="C5" s="75">
        <v>10497000</v>
      </c>
      <c r="D5" s="56">
        <v>5850000</v>
      </c>
      <c r="E5" s="116"/>
    </row>
    <row r="6" spans="1:11" ht="29" x14ac:dyDescent="0.35">
      <c r="A6" s="22" t="s">
        <v>22</v>
      </c>
      <c r="B6" s="22" t="s">
        <v>139</v>
      </c>
      <c r="C6" s="52">
        <v>7423000</v>
      </c>
      <c r="D6" s="15">
        <v>3300000</v>
      </c>
      <c r="E6" s="116"/>
    </row>
    <row r="7" spans="1:11" ht="87" x14ac:dyDescent="0.35">
      <c r="A7" s="22" t="s">
        <v>140</v>
      </c>
      <c r="B7" s="22" t="s">
        <v>173</v>
      </c>
      <c r="C7" s="52">
        <v>21000000</v>
      </c>
      <c r="D7" s="15">
        <v>13500000</v>
      </c>
      <c r="E7" s="124"/>
    </row>
    <row r="8" spans="1:11" ht="15.5" x14ac:dyDescent="0.35">
      <c r="A8" s="117" t="s">
        <v>161</v>
      </c>
      <c r="B8" s="137" t="s">
        <v>143</v>
      </c>
      <c r="C8" s="118">
        <v>3620000</v>
      </c>
      <c r="D8" s="119">
        <v>2140000</v>
      </c>
      <c r="E8" s="120"/>
      <c r="K8">
        <f>10/24.7*100</f>
        <v>40.48582995951417</v>
      </c>
    </row>
    <row r="9" spans="1:11" ht="29" x14ac:dyDescent="0.35">
      <c r="A9" s="22" t="s">
        <v>73</v>
      </c>
      <c r="B9" s="22" t="s">
        <v>144</v>
      </c>
      <c r="C9" s="52">
        <v>31982000</v>
      </c>
      <c r="D9" s="15">
        <v>10000000</v>
      </c>
      <c r="E9" s="124"/>
    </row>
    <row r="10" spans="1:11" ht="15.5" x14ac:dyDescent="0.35">
      <c r="A10" s="22" t="s">
        <v>24</v>
      </c>
      <c r="B10" s="22" t="s">
        <v>145</v>
      </c>
      <c r="C10" s="52">
        <v>7000000</v>
      </c>
      <c r="D10" s="15">
        <v>2475000</v>
      </c>
      <c r="E10" s="116"/>
    </row>
    <row r="11" spans="1:11" ht="29" x14ac:dyDescent="0.35">
      <c r="A11" s="22" t="s">
        <v>25</v>
      </c>
      <c r="B11" s="22" t="s">
        <v>146</v>
      </c>
      <c r="C11" s="52">
        <v>9980000</v>
      </c>
      <c r="D11" s="15">
        <v>3556000</v>
      </c>
      <c r="E11" s="122"/>
    </row>
    <row r="12" spans="1:11" x14ac:dyDescent="0.35">
      <c r="A12" s="22" t="s">
        <v>26</v>
      </c>
      <c r="B12" s="22" t="s">
        <v>145</v>
      </c>
      <c r="C12" s="52">
        <v>2045000</v>
      </c>
      <c r="D12" s="15">
        <v>675000</v>
      </c>
      <c r="E12" s="121"/>
    </row>
    <row r="13" spans="1:11" ht="29" x14ac:dyDescent="0.35">
      <c r="A13" s="22" t="s">
        <v>27</v>
      </c>
      <c r="B13" s="22" t="s">
        <v>147</v>
      </c>
      <c r="C13" s="52">
        <v>6000000</v>
      </c>
      <c r="D13" s="15">
        <v>2170000</v>
      </c>
      <c r="E13" s="121"/>
    </row>
    <row r="14" spans="1:11" ht="43.5" x14ac:dyDescent="0.35">
      <c r="A14" s="22" t="s">
        <v>41</v>
      </c>
      <c r="B14" s="22" t="s">
        <v>148</v>
      </c>
      <c r="C14" s="52">
        <v>16744000</v>
      </c>
      <c r="D14" s="15">
        <v>6800000</v>
      </c>
      <c r="E14" s="122"/>
    </row>
    <row r="15" spans="1:11" x14ac:dyDescent="0.35">
      <c r="A15" s="22" t="s">
        <v>42</v>
      </c>
      <c r="B15" s="22" t="s">
        <v>162</v>
      </c>
      <c r="C15" s="52">
        <v>11690000</v>
      </c>
      <c r="D15" s="15">
        <v>5000000</v>
      </c>
      <c r="E15" s="121"/>
    </row>
    <row r="16" spans="1:11" ht="101.5" x14ac:dyDescent="0.35">
      <c r="A16" s="88" t="s">
        <v>170</v>
      </c>
      <c r="B16" s="22" t="s">
        <v>171</v>
      </c>
      <c r="C16" s="76">
        <v>19350000</v>
      </c>
      <c r="D16" s="15">
        <v>5300000</v>
      </c>
      <c r="E16" s="123"/>
    </row>
    <row r="17" spans="1:5" ht="29" x14ac:dyDescent="0.35">
      <c r="A17" s="24" t="s">
        <v>36</v>
      </c>
      <c r="B17" s="22" t="s">
        <v>163</v>
      </c>
      <c r="C17" s="77">
        <v>18415000</v>
      </c>
      <c r="D17" s="15">
        <v>6530000</v>
      </c>
      <c r="E17" s="121"/>
    </row>
    <row r="18" spans="1:5" ht="72.5" x14ac:dyDescent="0.35">
      <c r="A18" s="22" t="s">
        <v>35</v>
      </c>
      <c r="B18" s="22" t="s">
        <v>149</v>
      </c>
      <c r="C18" s="52">
        <v>35000000</v>
      </c>
      <c r="D18" s="15">
        <v>8332000</v>
      </c>
      <c r="E18" s="123"/>
    </row>
    <row r="19" spans="1:5" x14ac:dyDescent="0.35">
      <c r="A19" s="22" t="s">
        <v>58</v>
      </c>
      <c r="B19" s="22" t="s">
        <v>150</v>
      </c>
      <c r="C19" s="52">
        <v>3500000</v>
      </c>
      <c r="D19" s="15">
        <v>3198000</v>
      </c>
      <c r="E19" s="121"/>
    </row>
    <row r="20" spans="1:5" ht="18.5" x14ac:dyDescent="0.45">
      <c r="A20" s="135" t="s">
        <v>137</v>
      </c>
      <c r="B20" s="113"/>
      <c r="C20" s="114"/>
      <c r="D20" s="114"/>
      <c r="E20" s="114"/>
    </row>
    <row r="21" spans="1:5" ht="29" x14ac:dyDescent="0.35">
      <c r="A21" s="90" t="s">
        <v>94</v>
      </c>
      <c r="B21" s="22" t="s">
        <v>164</v>
      </c>
      <c r="C21" s="81">
        <v>69000000</v>
      </c>
      <c r="D21" s="15">
        <v>10000000</v>
      </c>
      <c r="E21" s="121"/>
    </row>
    <row r="22" spans="1:5" ht="29" x14ac:dyDescent="0.35">
      <c r="A22" s="1" t="s">
        <v>65</v>
      </c>
      <c r="B22" s="22" t="s">
        <v>151</v>
      </c>
      <c r="C22" s="15">
        <v>5000000</v>
      </c>
      <c r="D22" s="15">
        <v>3800000</v>
      </c>
      <c r="E22" s="121"/>
    </row>
    <row r="23" spans="1:5" ht="29" x14ac:dyDescent="0.35">
      <c r="A23" s="1" t="s">
        <v>69</v>
      </c>
      <c r="B23" s="22" t="s">
        <v>152</v>
      </c>
      <c r="C23" s="15">
        <v>5427000</v>
      </c>
      <c r="D23" s="15">
        <f>3700000*0.99</f>
        <v>3663000</v>
      </c>
      <c r="E23" s="121"/>
    </row>
    <row r="24" spans="1:5" ht="58" x14ac:dyDescent="0.35">
      <c r="A24" s="1" t="s">
        <v>66</v>
      </c>
      <c r="B24" s="22" t="s">
        <v>165</v>
      </c>
      <c r="C24" s="15">
        <v>13500000</v>
      </c>
      <c r="D24" s="15">
        <v>6900000</v>
      </c>
      <c r="E24" s="121"/>
    </row>
    <row r="25" spans="1:5" ht="29" x14ac:dyDescent="0.35">
      <c r="A25" s="1" t="s">
        <v>68</v>
      </c>
      <c r="B25" s="22" t="s">
        <v>153</v>
      </c>
      <c r="C25" s="15">
        <v>6465000</v>
      </c>
      <c r="D25" s="15">
        <v>4300000</v>
      </c>
      <c r="E25" s="121"/>
    </row>
    <row r="26" spans="1:5" x14ac:dyDescent="0.35">
      <c r="A26" s="1" t="s">
        <v>63</v>
      </c>
      <c r="B26" s="22" t="s">
        <v>154</v>
      </c>
      <c r="C26" s="15">
        <v>5000000</v>
      </c>
      <c r="D26" s="15">
        <v>5000000</v>
      </c>
      <c r="E26" s="122"/>
    </row>
    <row r="27" spans="1:5" ht="29" x14ac:dyDescent="0.35">
      <c r="A27" s="1" t="s">
        <v>64</v>
      </c>
      <c r="B27" s="22" t="s">
        <v>155</v>
      </c>
      <c r="C27" s="15">
        <v>4151070</v>
      </c>
      <c r="D27" s="15">
        <f>4193000*0.99</f>
        <v>4151070</v>
      </c>
      <c r="E27" s="121"/>
    </row>
    <row r="28" spans="1:5" ht="29" x14ac:dyDescent="0.35">
      <c r="A28" s="87" t="s">
        <v>67</v>
      </c>
      <c r="B28" s="22" t="s">
        <v>156</v>
      </c>
      <c r="C28" s="15">
        <v>7750000</v>
      </c>
      <c r="D28" s="15">
        <v>5000000</v>
      </c>
      <c r="E28" s="122"/>
    </row>
    <row r="29" spans="1:5" ht="18.5" x14ac:dyDescent="0.45">
      <c r="A29" s="128" t="s">
        <v>60</v>
      </c>
      <c r="B29" s="129"/>
      <c r="C29" s="130"/>
      <c r="D29" s="130"/>
      <c r="E29" s="131"/>
    </row>
    <row r="30" spans="1:5" ht="43.5" x14ac:dyDescent="0.35">
      <c r="A30" s="22" t="s">
        <v>46</v>
      </c>
      <c r="B30" s="22" t="s">
        <v>159</v>
      </c>
      <c r="C30" s="52">
        <v>38000000</v>
      </c>
      <c r="D30" s="15">
        <v>16400000</v>
      </c>
      <c r="E30" s="122"/>
    </row>
    <row r="31" spans="1:5" ht="29" x14ac:dyDescent="0.35">
      <c r="A31" s="22" t="s">
        <v>75</v>
      </c>
      <c r="B31" s="22" t="s">
        <v>158</v>
      </c>
      <c r="C31" s="52">
        <v>58483982</v>
      </c>
      <c r="D31" s="15">
        <v>46780000</v>
      </c>
      <c r="E31" s="121"/>
    </row>
    <row r="32" spans="1:5" ht="58" x14ac:dyDescent="0.35">
      <c r="A32" s="22" t="s">
        <v>157</v>
      </c>
      <c r="B32" s="22" t="s">
        <v>168</v>
      </c>
      <c r="C32" s="52">
        <v>90743268</v>
      </c>
      <c r="D32" s="15">
        <v>45000000</v>
      </c>
      <c r="E32" s="122"/>
    </row>
    <row r="33" spans="1:5" ht="43.5" x14ac:dyDescent="0.35">
      <c r="A33" s="22" t="s">
        <v>76</v>
      </c>
      <c r="B33" s="22" t="s">
        <v>166</v>
      </c>
      <c r="C33" s="52">
        <v>57000000</v>
      </c>
      <c r="D33" s="15">
        <v>45000000</v>
      </c>
      <c r="E33" s="122"/>
    </row>
    <row r="34" spans="1:5" ht="18.5" x14ac:dyDescent="0.45">
      <c r="A34" s="136" t="s">
        <v>74</v>
      </c>
      <c r="B34" s="125"/>
      <c r="C34" s="126"/>
      <c r="D34" s="126"/>
      <c r="E34" s="127"/>
    </row>
    <row r="35" spans="1:5" ht="29" x14ac:dyDescent="0.35">
      <c r="A35" s="1" t="s">
        <v>78</v>
      </c>
      <c r="B35" s="22" t="s">
        <v>169</v>
      </c>
      <c r="C35" s="1">
        <v>14000000</v>
      </c>
      <c r="D35" s="1">
        <v>32000000</v>
      </c>
      <c r="E35" s="121"/>
    </row>
  </sheetData>
  <pageMargins left="0.70866141732283472" right="0.70866141732283472" top="0.74803149606299213" bottom="0.74803149606299213" header="0.31496062992125984" footer="0.31496062992125984"/>
  <pageSetup paperSize="9" scale="7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1"/>
  <sheetViews>
    <sheetView topLeftCell="A12" workbookViewId="0">
      <selection activeCell="A3" sqref="A3:E22"/>
    </sheetView>
  </sheetViews>
  <sheetFormatPr defaultRowHeight="14.5" x14ac:dyDescent="0.35"/>
  <cols>
    <col min="1" max="1" width="24.54296875" customWidth="1"/>
    <col min="2" max="2" width="12.7265625" bestFit="1" customWidth="1"/>
    <col min="3" max="4" width="10.54296875" bestFit="1" customWidth="1"/>
    <col min="5" max="5" width="12.453125" customWidth="1"/>
  </cols>
  <sheetData>
    <row r="1" spans="1:5" x14ac:dyDescent="0.35">
      <c r="A1" t="s">
        <v>176</v>
      </c>
    </row>
    <row r="3" spans="1:5" ht="29" x14ac:dyDescent="0.35">
      <c r="A3" s="140" t="s">
        <v>17</v>
      </c>
      <c r="B3" s="142" t="s">
        <v>130</v>
      </c>
      <c r="C3" s="143" t="s">
        <v>128</v>
      </c>
      <c r="D3" s="144" t="s">
        <v>132</v>
      </c>
      <c r="E3" s="141" t="s">
        <v>177</v>
      </c>
    </row>
    <row r="4" spans="1:5" ht="21" x14ac:dyDescent="0.5">
      <c r="A4" s="17" t="s">
        <v>61</v>
      </c>
      <c r="B4" s="32"/>
      <c r="C4" s="32"/>
      <c r="D4" s="33"/>
      <c r="E4" s="1"/>
    </row>
    <row r="5" spans="1:5" x14ac:dyDescent="0.35">
      <c r="A5" s="57" t="s">
        <v>81</v>
      </c>
      <c r="B5" s="45">
        <f>18269116-B26</f>
        <v>7920938</v>
      </c>
      <c r="C5" s="45"/>
      <c r="D5" s="58"/>
      <c r="E5" s="1"/>
    </row>
    <row r="6" spans="1:5" x14ac:dyDescent="0.35">
      <c r="A6" s="52" t="s">
        <v>129</v>
      </c>
      <c r="B6" s="52">
        <v>287000</v>
      </c>
      <c r="C6" s="52">
        <v>77500</v>
      </c>
      <c r="D6" s="145">
        <v>77500</v>
      </c>
      <c r="E6" s="147">
        <f>D6+C6</f>
        <v>155000</v>
      </c>
    </row>
    <row r="7" spans="1:5" x14ac:dyDescent="0.35">
      <c r="A7" s="55" t="s">
        <v>18</v>
      </c>
      <c r="B7" s="56">
        <v>2279000</v>
      </c>
      <c r="C7" s="56">
        <v>530646</v>
      </c>
      <c r="D7" s="146">
        <v>117000</v>
      </c>
      <c r="E7" s="147">
        <f t="shared" ref="E7:E21" si="0">D7+C7</f>
        <v>647646</v>
      </c>
    </row>
    <row r="8" spans="1:5" x14ac:dyDescent="0.35">
      <c r="A8" s="22" t="s">
        <v>22</v>
      </c>
      <c r="B8" s="15">
        <v>1980000</v>
      </c>
      <c r="C8" s="15">
        <v>962527</v>
      </c>
      <c r="D8" s="25">
        <v>0</v>
      </c>
      <c r="E8" s="147">
        <f t="shared" si="0"/>
        <v>962527</v>
      </c>
    </row>
    <row r="9" spans="1:5" x14ac:dyDescent="0.35">
      <c r="A9" s="22" t="s">
        <v>39</v>
      </c>
      <c r="B9" s="15">
        <v>0</v>
      </c>
      <c r="C9" s="15">
        <v>0</v>
      </c>
      <c r="D9" s="25">
        <v>0</v>
      </c>
      <c r="E9" s="147">
        <f t="shared" si="0"/>
        <v>0</v>
      </c>
    </row>
    <row r="10" spans="1:5" x14ac:dyDescent="0.35">
      <c r="A10" s="22" t="s">
        <v>141</v>
      </c>
      <c r="B10" s="15">
        <v>0</v>
      </c>
      <c r="C10" s="15">
        <v>0</v>
      </c>
      <c r="D10" s="25">
        <v>0</v>
      </c>
      <c r="E10" s="147">
        <f t="shared" si="0"/>
        <v>0</v>
      </c>
    </row>
    <row r="11" spans="1:5" ht="29" x14ac:dyDescent="0.35">
      <c r="A11" s="22" t="s">
        <v>73</v>
      </c>
      <c r="B11" s="15">
        <v>2500000</v>
      </c>
      <c r="C11" s="15"/>
      <c r="D11" s="25">
        <v>1710097.72</v>
      </c>
      <c r="E11" s="147">
        <f t="shared" si="0"/>
        <v>1710097.72</v>
      </c>
    </row>
    <row r="12" spans="1:5" ht="29" x14ac:dyDescent="0.35">
      <c r="A12" s="22" t="s">
        <v>24</v>
      </c>
      <c r="B12" s="15">
        <v>323500</v>
      </c>
      <c r="C12" s="15"/>
      <c r="D12" s="25">
        <v>323500</v>
      </c>
      <c r="E12" s="147">
        <f t="shared" si="0"/>
        <v>323500</v>
      </c>
    </row>
    <row r="13" spans="1:5" ht="29" x14ac:dyDescent="0.35">
      <c r="A13" s="22" t="s">
        <v>25</v>
      </c>
      <c r="B13" s="15">
        <v>612084</v>
      </c>
      <c r="C13" s="15"/>
      <c r="D13" s="25">
        <v>612084</v>
      </c>
      <c r="E13" s="147">
        <f t="shared" si="0"/>
        <v>612084</v>
      </c>
    </row>
    <row r="14" spans="1:5" ht="29" x14ac:dyDescent="0.35">
      <c r="A14" s="22" t="s">
        <v>26</v>
      </c>
      <c r="B14" s="15">
        <f>154365+67485</f>
        <v>221850</v>
      </c>
      <c r="C14" s="15"/>
      <c r="D14" s="25">
        <v>104172</v>
      </c>
      <c r="E14" s="147">
        <f t="shared" si="0"/>
        <v>104172</v>
      </c>
    </row>
    <row r="15" spans="1:5" ht="43.5" x14ac:dyDescent="0.35">
      <c r="A15" s="22" t="s">
        <v>174</v>
      </c>
      <c r="B15" s="15">
        <v>443775</v>
      </c>
      <c r="C15" s="15"/>
      <c r="D15" s="25">
        <v>443775</v>
      </c>
      <c r="E15" s="147">
        <f t="shared" si="0"/>
        <v>443775</v>
      </c>
    </row>
    <row r="16" spans="1:5" x14ac:dyDescent="0.35">
      <c r="A16" s="22" t="s">
        <v>41</v>
      </c>
      <c r="B16" s="15">
        <v>0</v>
      </c>
      <c r="C16" s="15"/>
      <c r="D16" s="25"/>
      <c r="E16" s="147">
        <f t="shared" si="0"/>
        <v>0</v>
      </c>
    </row>
    <row r="17" spans="1:5" ht="29" x14ac:dyDescent="0.35">
      <c r="A17" s="22" t="s">
        <v>142</v>
      </c>
      <c r="B17" s="15">
        <v>2523014</v>
      </c>
      <c r="C17" s="15">
        <v>1660000</v>
      </c>
      <c r="D17" s="25"/>
      <c r="E17" s="147">
        <f t="shared" si="0"/>
        <v>1660000</v>
      </c>
    </row>
    <row r="18" spans="1:5" x14ac:dyDescent="0.35">
      <c r="A18" s="23" t="s">
        <v>37</v>
      </c>
      <c r="B18" s="15">
        <v>424000</v>
      </c>
      <c r="C18" s="15">
        <v>424000</v>
      </c>
      <c r="D18" s="25">
        <v>0</v>
      </c>
      <c r="E18" s="147">
        <f t="shared" si="0"/>
        <v>424000</v>
      </c>
    </row>
    <row r="19" spans="1:5" x14ac:dyDescent="0.35">
      <c r="A19" s="24" t="s">
        <v>36</v>
      </c>
      <c r="B19" s="15">
        <v>3195000</v>
      </c>
      <c r="C19" s="15">
        <v>665000</v>
      </c>
      <c r="D19" s="25"/>
      <c r="E19" s="147">
        <f t="shared" si="0"/>
        <v>665000</v>
      </c>
    </row>
    <row r="20" spans="1:5" ht="29" x14ac:dyDescent="0.35">
      <c r="A20" s="22" t="s">
        <v>35</v>
      </c>
      <c r="B20" s="15">
        <v>165000</v>
      </c>
      <c r="C20" s="15"/>
      <c r="D20" s="25"/>
      <c r="E20" s="147">
        <f t="shared" si="0"/>
        <v>0</v>
      </c>
    </row>
    <row r="21" spans="1:5" ht="29" x14ac:dyDescent="0.35">
      <c r="A21" s="22" t="s">
        <v>58</v>
      </c>
      <c r="B21" s="15">
        <v>826000</v>
      </c>
      <c r="C21" s="15"/>
      <c r="D21" s="25">
        <f>'All projects'!I27</f>
        <v>546425</v>
      </c>
      <c r="E21" s="147">
        <f t="shared" si="0"/>
        <v>546425</v>
      </c>
    </row>
    <row r="22" spans="1:5" x14ac:dyDescent="0.35">
      <c r="A22" s="4" t="s">
        <v>72</v>
      </c>
      <c r="B22" s="26">
        <f t="shared" ref="B22:D22" si="1">SUM(B6:B21)</f>
        <v>15780223</v>
      </c>
      <c r="C22" s="26">
        <f t="shared" si="1"/>
        <v>4319673</v>
      </c>
      <c r="D22" s="26">
        <f t="shared" si="1"/>
        <v>3934553.7199999997</v>
      </c>
      <c r="E22" s="95">
        <f>D22+C22</f>
        <v>8254226.7199999997</v>
      </c>
    </row>
    <row r="23" spans="1:5" ht="29" x14ac:dyDescent="0.35">
      <c r="A23" s="22" t="s">
        <v>89</v>
      </c>
      <c r="B23" s="21"/>
      <c r="C23" s="21" t="e">
        <f>#REF!+#REF!+C22+D22</f>
        <v>#REF!</v>
      </c>
      <c r="D23" s="21"/>
    </row>
    <row r="24" spans="1:5" x14ac:dyDescent="0.35">
      <c r="A24" s="22"/>
      <c r="B24" s="21"/>
      <c r="C24" s="21"/>
      <c r="D24" s="21"/>
    </row>
    <row r="25" spans="1:5" ht="21" x14ac:dyDescent="0.5">
      <c r="A25" s="28" t="s">
        <v>62</v>
      </c>
      <c r="B25" s="36"/>
      <c r="C25" s="36"/>
      <c r="D25" s="36"/>
    </row>
    <row r="26" spans="1:5" ht="42" x14ac:dyDescent="0.5">
      <c r="A26" s="40" t="s">
        <v>81</v>
      </c>
      <c r="B26" s="43">
        <v>10348178</v>
      </c>
      <c r="C26" s="43"/>
      <c r="D26" s="43"/>
    </row>
    <row r="27" spans="1:5" ht="43.5" x14ac:dyDescent="0.35">
      <c r="A27" s="64" t="s">
        <v>94</v>
      </c>
      <c r="B27" s="15">
        <v>600000</v>
      </c>
      <c r="C27" s="15">
        <v>0</v>
      </c>
      <c r="D27" s="15">
        <v>0</v>
      </c>
    </row>
    <row r="28" spans="1:5" x14ac:dyDescent="0.35">
      <c r="A28" s="1" t="s">
        <v>65</v>
      </c>
      <c r="B28" s="15">
        <v>712000</v>
      </c>
      <c r="C28" s="15"/>
      <c r="D28" s="15"/>
    </row>
    <row r="29" spans="1:5" x14ac:dyDescent="0.35">
      <c r="A29" s="1" t="s">
        <v>69</v>
      </c>
      <c r="B29" s="15">
        <v>200000</v>
      </c>
      <c r="C29" s="15"/>
      <c r="D29" s="15"/>
    </row>
    <row r="30" spans="1:5" x14ac:dyDescent="0.35">
      <c r="A30" s="1" t="s">
        <v>66</v>
      </c>
      <c r="B30" s="15">
        <f>226583.83+1424055.03</f>
        <v>1650638.86</v>
      </c>
      <c r="C30" s="15"/>
      <c r="D30" s="15"/>
    </row>
    <row r="31" spans="1:5" x14ac:dyDescent="0.35">
      <c r="A31" s="1" t="s">
        <v>68</v>
      </c>
      <c r="B31" s="15">
        <v>250000</v>
      </c>
      <c r="C31" s="15"/>
      <c r="D31" s="15"/>
    </row>
    <row r="32" spans="1:5" x14ac:dyDescent="0.35">
      <c r="A32" s="1" t="s">
        <v>63</v>
      </c>
      <c r="B32" s="15">
        <v>0</v>
      </c>
      <c r="C32" s="15"/>
      <c r="D32" s="15"/>
    </row>
    <row r="33" spans="1:4" x14ac:dyDescent="0.35">
      <c r="A33" s="1" t="s">
        <v>64</v>
      </c>
      <c r="B33" s="15">
        <v>0</v>
      </c>
      <c r="C33" s="15"/>
      <c r="D33" s="15"/>
    </row>
    <row r="34" spans="1:4" x14ac:dyDescent="0.35">
      <c r="A34" s="1" t="s">
        <v>67</v>
      </c>
      <c r="B34" s="15">
        <v>100000</v>
      </c>
      <c r="C34" s="15"/>
      <c r="D34" s="15"/>
    </row>
    <row r="35" spans="1:4" x14ac:dyDescent="0.35">
      <c r="A35" s="2" t="s">
        <v>79</v>
      </c>
      <c r="B35" s="15">
        <v>107233</v>
      </c>
      <c r="C35" s="15"/>
      <c r="D35" s="15"/>
    </row>
    <row r="36" spans="1:4" x14ac:dyDescent="0.35">
      <c r="A36" s="2" t="s">
        <v>70</v>
      </c>
      <c r="B36" s="21">
        <f t="shared" ref="B36:D36" si="2">SUM(B27:B35)</f>
        <v>3619871.8600000003</v>
      </c>
      <c r="C36" s="21">
        <f t="shared" si="2"/>
        <v>0</v>
      </c>
      <c r="D36" s="21">
        <f t="shared" si="2"/>
        <v>0</v>
      </c>
    </row>
    <row r="37" spans="1:4" x14ac:dyDescent="0.35">
      <c r="A37" s="2" t="s">
        <v>82</v>
      </c>
      <c r="B37" s="21">
        <f>B26-B36</f>
        <v>6728306.1399999997</v>
      </c>
      <c r="C37" s="21"/>
      <c r="D37" s="21"/>
    </row>
    <row r="38" spans="1:4" x14ac:dyDescent="0.35">
      <c r="A38" s="1"/>
      <c r="B38" s="15"/>
      <c r="C38" s="15"/>
      <c r="D38" s="15"/>
    </row>
    <row r="39" spans="1:4" x14ac:dyDescent="0.35">
      <c r="A39" s="61" t="s">
        <v>93</v>
      </c>
      <c r="B39" s="62" t="e">
        <f>#REF!+B26</f>
        <v>#REF!</v>
      </c>
      <c r="C39" s="62"/>
      <c r="D39" s="62"/>
    </row>
    <row r="40" spans="1:4" x14ac:dyDescent="0.35">
      <c r="A40" s="61" t="s">
        <v>71</v>
      </c>
      <c r="B40" s="62">
        <f>B36+B22</f>
        <v>19400094.859999999</v>
      </c>
      <c r="C40" s="62">
        <f t="shared" ref="C40:D40" si="3">C36+C22</f>
        <v>4319673</v>
      </c>
      <c r="D40" s="62">
        <f t="shared" si="3"/>
        <v>3934553.7199999997</v>
      </c>
    </row>
    <row r="41" spans="1:4" x14ac:dyDescent="0.35">
      <c r="A41" s="2" t="s">
        <v>91</v>
      </c>
      <c r="B41" s="21" t="e">
        <f t="shared" ref="B41" si="4">B39-B40</f>
        <v>#REF!</v>
      </c>
      <c r="C41" s="21"/>
      <c r="D41" s="21"/>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Sheet1</vt:lpstr>
      <vt:lpstr>All projects</vt:lpstr>
      <vt:lpstr>Sheet2</vt:lpstr>
      <vt:lpstr>projects broken down by LA</vt:lpstr>
      <vt:lpstr>RAG Status</vt:lpstr>
      <vt:lpstr>Qtr spend</vt:lpstr>
      <vt:lpstr>'All projects'!Print_Area</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Brosnahan</dc:creator>
  <cp:lastModifiedBy>Jane Wilson</cp:lastModifiedBy>
  <cp:lastPrinted>2018-04-18T15:07:40Z</cp:lastPrinted>
  <dcterms:created xsi:type="dcterms:W3CDTF">2017-04-03T07:15:58Z</dcterms:created>
  <dcterms:modified xsi:type="dcterms:W3CDTF">2020-08-28T10:05:41Z</dcterms:modified>
</cp:coreProperties>
</file>