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candwlep-my.sharepoint.com/personal/jane_wilson_871candwep_co_uk/Documents/New website/P&amp;I Committee/27th February 2019/"/>
    </mc:Choice>
  </mc:AlternateContent>
  <xr:revisionPtr revIDLastSave="0" documentId="8_{AB1F1EE9-C490-473A-A148-B4140DAED65E}" xr6:coauthVersionLast="45" xr6:coauthVersionMax="45" xr10:uidLastSave="{00000000-0000-0000-0000-000000000000}"/>
  <bookViews>
    <workbookView xWindow="-110" yWindow="-110" windowWidth="19420" windowHeight="10420" activeTab="1" xr2:uid="{00000000-000D-0000-FFFF-FFFF00000000}"/>
  </bookViews>
  <sheets>
    <sheet name="Sheet1" sheetId="1" r:id="rId1"/>
    <sheet name="All projects" sheetId="2" r:id="rId2"/>
    <sheet name="Funding split" sheetId="6" r:id="rId3"/>
    <sheet name="projects broken down by LA" sheetId="3" r:id="rId4"/>
    <sheet name="Ellesmere Port" sheetId="8" r:id="rId5"/>
    <sheet name="RAG Status" sheetId="4" r:id="rId6"/>
    <sheet name="Qtr spend" sheetId="5" r:id="rId7"/>
    <sheet name="Transport schemes" sheetId="7" r:id="rId8"/>
  </sheets>
  <definedNames>
    <definedName name="_xlnm.Print_Area" localSheetId="1">'All projects'!$A$2:$Y$76</definedName>
    <definedName name="_xlnm.Print_Area" localSheetId="0">Sheet1!$A$1:$N$38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2" i="2" l="1"/>
  <c r="D62" i="2"/>
  <c r="E62" i="2"/>
  <c r="F62" i="2"/>
  <c r="G62" i="2"/>
  <c r="H62" i="2"/>
  <c r="I62" i="2"/>
  <c r="J62" i="2"/>
  <c r="K62" i="2"/>
  <c r="M62" i="2"/>
  <c r="N62" i="2"/>
  <c r="O62" i="2"/>
  <c r="P62" i="2"/>
  <c r="Q62" i="2"/>
  <c r="R62" i="2"/>
  <c r="S62" i="2"/>
  <c r="T62" i="2"/>
  <c r="U62" i="2"/>
  <c r="V62" i="2"/>
  <c r="W62" i="2"/>
  <c r="B62" i="2"/>
  <c r="T23" i="2" l="1"/>
  <c r="T30" i="2" s="1"/>
  <c r="T52" i="2" l="1"/>
  <c r="T57" i="2" s="1"/>
  <c r="T63" i="2" s="1"/>
  <c r="L43" i="2"/>
  <c r="L44" i="2"/>
  <c r="L45" i="2"/>
  <c r="L46" i="2"/>
  <c r="L47" i="2"/>
  <c r="L48" i="2"/>
  <c r="L49" i="2"/>
  <c r="L50" i="2"/>
  <c r="L29" i="2"/>
  <c r="S52" i="2" l="1"/>
  <c r="S30" i="2"/>
  <c r="S57" i="2" l="1"/>
  <c r="S63" i="2" s="1"/>
  <c r="X29" i="2"/>
  <c r="Q30" i="2" l="1"/>
  <c r="U51" i="2" l="1"/>
  <c r="X43" i="2"/>
  <c r="X44" i="2"/>
  <c r="X45" i="2"/>
  <c r="X46" i="2"/>
  <c r="X47" i="2"/>
  <c r="X48" i="2"/>
  <c r="X49" i="2"/>
  <c r="X50" i="2"/>
  <c r="V28" i="2"/>
  <c r="W28" i="2" s="1"/>
  <c r="AC81" i="2" l="1"/>
  <c r="AE81" i="2" s="1"/>
  <c r="AB81" i="2"/>
  <c r="AC78" i="2"/>
  <c r="AC77" i="2"/>
  <c r="AD77" i="2" s="1"/>
  <c r="D30" i="2"/>
  <c r="AB79" i="2"/>
  <c r="AB78" i="2"/>
  <c r="AB77" i="2"/>
  <c r="AA82" i="2"/>
  <c r="AB80" i="2" l="1"/>
  <c r="Z22" i="2" l="1"/>
  <c r="G83" i="2" l="1"/>
  <c r="Q52" i="2" l="1"/>
  <c r="C8" i="8" l="1"/>
  <c r="B8" i="8"/>
  <c r="W39" i="2" l="1"/>
  <c r="C44" i="2" l="1"/>
  <c r="C45" i="2"/>
  <c r="C46" i="2"/>
  <c r="C47" i="2"/>
  <c r="C48" i="2"/>
  <c r="C49" i="2"/>
  <c r="C50" i="2"/>
  <c r="C43" i="2"/>
  <c r="W35" i="2" l="1"/>
  <c r="P35" i="2"/>
  <c r="M35" i="2"/>
  <c r="R35" i="2"/>
  <c r="B74" i="2" l="1"/>
  <c r="O52" i="2" l="1"/>
  <c r="B52" i="2" l="1"/>
  <c r="C51" i="2"/>
  <c r="O30" i="2" l="1"/>
  <c r="O57" i="2" s="1"/>
  <c r="O63" i="2" l="1"/>
  <c r="C20" i="7"/>
  <c r="B20" i="7"/>
  <c r="C14" i="7"/>
  <c r="B14" i="7"/>
  <c r="C10" i="7"/>
  <c r="B21" i="7" l="1"/>
  <c r="C21" i="7"/>
  <c r="D41" i="6" l="1"/>
  <c r="E41" i="6"/>
  <c r="C41" i="6"/>
  <c r="E12" i="6"/>
  <c r="D12" i="6"/>
  <c r="G12" i="6" l="1"/>
  <c r="H12" i="6"/>
  <c r="E19" i="6"/>
  <c r="H19" i="6" s="1"/>
  <c r="D19" i="6"/>
  <c r="G19" i="6" s="1"/>
  <c r="B32" i="6"/>
  <c r="B37" i="6" s="1"/>
  <c r="F23" i="6"/>
  <c r="G23" i="6"/>
  <c r="H23" i="6"/>
  <c r="F24" i="6"/>
  <c r="G24" i="6"/>
  <c r="H24" i="6"/>
  <c r="G25" i="6"/>
  <c r="H25" i="6"/>
  <c r="F26" i="6"/>
  <c r="G26" i="6"/>
  <c r="H26" i="6"/>
  <c r="F27" i="6"/>
  <c r="G27" i="6"/>
  <c r="H27" i="6"/>
  <c r="F28" i="6"/>
  <c r="G28" i="6"/>
  <c r="H28" i="6"/>
  <c r="G29" i="6"/>
  <c r="H29" i="6"/>
  <c r="F30" i="6"/>
  <c r="G30" i="6"/>
  <c r="H30" i="6"/>
  <c r="F31" i="6"/>
  <c r="G31" i="6"/>
  <c r="H31" i="6"/>
  <c r="F36" i="6"/>
  <c r="G36" i="6"/>
  <c r="H36" i="6"/>
  <c r="F39" i="6"/>
  <c r="G39" i="6"/>
  <c r="H39" i="6"/>
  <c r="F40" i="6"/>
  <c r="G40" i="6"/>
  <c r="H40" i="6"/>
  <c r="F44" i="6"/>
  <c r="I44" i="6" s="1"/>
  <c r="G44" i="6"/>
  <c r="H44" i="6"/>
  <c r="F48" i="6"/>
  <c r="I48" i="6" s="1"/>
  <c r="G48" i="6"/>
  <c r="H48" i="6"/>
  <c r="F4" i="6"/>
  <c r="G4" i="6"/>
  <c r="H4" i="6"/>
  <c r="F5" i="6"/>
  <c r="G5" i="6"/>
  <c r="H5" i="6"/>
  <c r="F6" i="6"/>
  <c r="G6" i="6"/>
  <c r="H6" i="6"/>
  <c r="F7" i="6"/>
  <c r="G7" i="6"/>
  <c r="H7" i="6"/>
  <c r="F8" i="6"/>
  <c r="G8" i="6"/>
  <c r="H8" i="6"/>
  <c r="F10" i="6"/>
  <c r="G10" i="6"/>
  <c r="H10" i="6"/>
  <c r="F11" i="6"/>
  <c r="G11" i="6"/>
  <c r="H11" i="6"/>
  <c r="F13" i="6"/>
  <c r="G13" i="6"/>
  <c r="H13" i="6"/>
  <c r="F14" i="6"/>
  <c r="G14" i="6"/>
  <c r="H14" i="6"/>
  <c r="F15" i="6"/>
  <c r="G15" i="6"/>
  <c r="H15" i="6"/>
  <c r="F16" i="6"/>
  <c r="G16" i="6"/>
  <c r="H16" i="6"/>
  <c r="F18" i="6"/>
  <c r="G18" i="6"/>
  <c r="F19" i="6"/>
  <c r="F20" i="6"/>
  <c r="G20" i="6"/>
  <c r="H20" i="6"/>
  <c r="F21" i="6"/>
  <c r="G21" i="6"/>
  <c r="H21" i="6"/>
  <c r="F22" i="6"/>
  <c r="G22" i="6"/>
  <c r="H22" i="6"/>
  <c r="E18" i="6"/>
  <c r="H18" i="6" s="1"/>
  <c r="I49" i="6"/>
  <c r="F17" i="6"/>
  <c r="C49" i="6"/>
  <c r="C45" i="6"/>
  <c r="C29" i="6"/>
  <c r="F29" i="6" s="1"/>
  <c r="C25" i="6"/>
  <c r="F25" i="6" s="1"/>
  <c r="E17" i="6"/>
  <c r="D17" i="6"/>
  <c r="B49" i="6"/>
  <c r="B41" i="6"/>
  <c r="G17" i="6" l="1"/>
  <c r="D32" i="6"/>
  <c r="D37" i="6" s="1"/>
  <c r="D42" i="6" s="1"/>
  <c r="H17" i="6"/>
  <c r="E32" i="6"/>
  <c r="E37" i="6" s="1"/>
  <c r="E42" i="6" s="1"/>
  <c r="H41" i="6"/>
  <c r="B42" i="6"/>
  <c r="I31" i="6"/>
  <c r="C32" i="6"/>
  <c r="C37" i="6" s="1"/>
  <c r="I25" i="6"/>
  <c r="I5" i="6"/>
  <c r="I24" i="6"/>
  <c r="I20" i="6"/>
  <c r="I28" i="6"/>
  <c r="I36" i="6"/>
  <c r="I29" i="6"/>
  <c r="I21" i="6"/>
  <c r="I13" i="6"/>
  <c r="I11" i="6"/>
  <c r="I39" i="6"/>
  <c r="I40" i="6"/>
  <c r="I30" i="6"/>
  <c r="I26" i="6"/>
  <c r="I16" i="6"/>
  <c r="I12" i="6"/>
  <c r="G41" i="6"/>
  <c r="I27" i="6"/>
  <c r="I23" i="6"/>
  <c r="I22" i="6"/>
  <c r="I19" i="6"/>
  <c r="I18" i="6"/>
  <c r="I14" i="6"/>
  <c r="I10" i="6"/>
  <c r="I8" i="6"/>
  <c r="I4" i="6"/>
  <c r="I7" i="6"/>
  <c r="I6" i="6"/>
  <c r="I15" i="6"/>
  <c r="V26" i="2"/>
  <c r="F32" i="6" l="1"/>
  <c r="I17" i="6"/>
  <c r="G32" i="6"/>
  <c r="H37" i="6"/>
  <c r="H32" i="6"/>
  <c r="F37" i="6"/>
  <c r="I37" i="6" s="1"/>
  <c r="C42" i="6"/>
  <c r="F42" i="6" s="1"/>
  <c r="G42" i="6"/>
  <c r="H42" i="6"/>
  <c r="G37" i="6"/>
  <c r="F41" i="6"/>
  <c r="I41" i="6" s="1"/>
  <c r="I32" i="6" l="1"/>
  <c r="I42" i="6"/>
  <c r="V36" i="2"/>
  <c r="W36" i="2" s="1"/>
  <c r="V37" i="2"/>
  <c r="W37" i="2"/>
  <c r="V38" i="2"/>
  <c r="P52" i="2"/>
  <c r="R52" i="2"/>
  <c r="X68" i="2"/>
  <c r="H66" i="2"/>
  <c r="I66" i="2"/>
  <c r="J66" i="2"/>
  <c r="K66" i="2"/>
  <c r="L61" i="2"/>
  <c r="L65" i="2"/>
  <c r="L60" i="2"/>
  <c r="H52" i="2"/>
  <c r="I52" i="2"/>
  <c r="J52" i="2"/>
  <c r="K52" i="2"/>
  <c r="H30" i="2"/>
  <c r="J30" i="2"/>
  <c r="K30" i="2"/>
  <c r="L11" i="2"/>
  <c r="X11" i="2" s="1"/>
  <c r="L12" i="2"/>
  <c r="X12" i="2" s="1"/>
  <c r="L13" i="2"/>
  <c r="X13" i="2" s="1"/>
  <c r="L14" i="2"/>
  <c r="X14" i="2" s="1"/>
  <c r="N24" i="2"/>
  <c r="L62" i="2" l="1"/>
  <c r="J57" i="2"/>
  <c r="J63" i="2" s="1"/>
  <c r="K57" i="2"/>
  <c r="K63" i="2" s="1"/>
  <c r="V52" i="2"/>
  <c r="V53" i="2" s="1"/>
  <c r="W52" i="2"/>
  <c r="W53" i="2" s="1"/>
  <c r="L66" i="2"/>
  <c r="H57" i="2"/>
  <c r="H63" i="2" s="1"/>
  <c r="B2" i="2"/>
  <c r="N35" i="2"/>
  <c r="V24" i="2" l="1"/>
  <c r="P24" i="2"/>
  <c r="M24" i="2"/>
  <c r="M27" i="2"/>
  <c r="U27" i="2" s="1"/>
  <c r="M38" i="2"/>
  <c r="N37" i="2"/>
  <c r="M37" i="2"/>
  <c r="U37" i="2" s="1"/>
  <c r="N52" i="2" l="1"/>
  <c r="N30" i="2"/>
  <c r="R30" i="2"/>
  <c r="G36" i="2"/>
  <c r="L36" i="2" s="1"/>
  <c r="G37" i="2"/>
  <c r="L37" i="2" s="1"/>
  <c r="G38" i="2"/>
  <c r="L38" i="2" s="1"/>
  <c r="G39" i="2"/>
  <c r="L39" i="2" s="1"/>
  <c r="G40" i="2"/>
  <c r="L40" i="2" s="1"/>
  <c r="G41" i="2"/>
  <c r="L41" i="2" s="1"/>
  <c r="G42" i="2"/>
  <c r="L42" i="2" s="1"/>
  <c r="G51" i="2"/>
  <c r="L51" i="2" s="1"/>
  <c r="G35" i="2"/>
  <c r="L35" i="2" s="1"/>
  <c r="G23" i="2"/>
  <c r="G24" i="2"/>
  <c r="L24" i="2" s="1"/>
  <c r="X24" i="2" s="1"/>
  <c r="G16" i="2"/>
  <c r="G25" i="2"/>
  <c r="L25" i="2" s="1"/>
  <c r="X25" i="2" s="1"/>
  <c r="G18" i="2"/>
  <c r="G15" i="2"/>
  <c r="G26" i="2"/>
  <c r="G27" i="2"/>
  <c r="L27" i="2" s="1"/>
  <c r="X27" i="2" s="1"/>
  <c r="G28" i="2"/>
  <c r="L28" i="2" s="1"/>
  <c r="X28" i="2" s="1"/>
  <c r="G19" i="2"/>
  <c r="L19" i="2" s="1"/>
  <c r="G22" i="2"/>
  <c r="L22" i="2" s="1"/>
  <c r="L26" i="2" l="1"/>
  <c r="X26" i="2" s="1"/>
  <c r="X42" i="2"/>
  <c r="X38" i="2"/>
  <c r="X41" i="2"/>
  <c r="X37" i="2"/>
  <c r="L16" i="2"/>
  <c r="X16" i="2" s="1"/>
  <c r="X51" i="2"/>
  <c r="X35" i="2"/>
  <c r="X40" i="2"/>
  <c r="M22" i="2"/>
  <c r="X22" i="2" s="1"/>
  <c r="X36" i="2"/>
  <c r="X15" i="2"/>
  <c r="L15" i="2"/>
  <c r="R57" i="2"/>
  <c r="R63" i="2" s="1"/>
  <c r="N57" i="2"/>
  <c r="N63" i="2" s="1"/>
  <c r="AD79" i="2" l="1"/>
  <c r="P19" i="2"/>
  <c r="P30" i="2" s="1"/>
  <c r="P57" i="2" s="1"/>
  <c r="P63" i="2" s="1"/>
  <c r="U22" i="2"/>
  <c r="L52" i="2"/>
  <c r="Y32" i="2"/>
  <c r="M25" i="2"/>
  <c r="M19" i="2" l="1"/>
  <c r="X19" i="2" s="1"/>
  <c r="B30" i="2" l="1"/>
  <c r="E52" i="2" l="1"/>
  <c r="F52" i="2"/>
  <c r="E30" i="2" l="1"/>
  <c r="C13" i="2" l="1"/>
  <c r="C29" i="2"/>
  <c r="C12" i="2"/>
  <c r="C66" i="2"/>
  <c r="E66" i="2"/>
  <c r="F66" i="2"/>
  <c r="G66" i="2"/>
  <c r="M66" i="2"/>
  <c r="V66" i="2"/>
  <c r="W66" i="2"/>
  <c r="B66" i="2"/>
  <c r="M23" i="2" l="1"/>
  <c r="U30" i="2" l="1"/>
  <c r="G71" i="2"/>
  <c r="M72" i="2"/>
  <c r="X72" i="2" s="1"/>
  <c r="I72" i="2"/>
  <c r="I74" i="2" s="1"/>
  <c r="J74" i="2"/>
  <c r="X39" i="2" l="1"/>
  <c r="X52" i="2" s="1"/>
  <c r="U52" i="2"/>
  <c r="U57" i="2" s="1"/>
  <c r="U63" i="2" s="1"/>
  <c r="I17" i="2"/>
  <c r="G17" i="2" l="1"/>
  <c r="L17" i="2" s="1"/>
  <c r="X17" i="2" s="1"/>
  <c r="I30" i="2"/>
  <c r="I57" i="2" s="1"/>
  <c r="I63" i="2" s="1"/>
  <c r="V30" i="2"/>
  <c r="G30" i="2" l="1"/>
  <c r="D21" i="5"/>
  <c r="E21" i="5" s="1"/>
  <c r="E7" i="5"/>
  <c r="E8" i="5"/>
  <c r="E9" i="5"/>
  <c r="E10" i="5"/>
  <c r="E11" i="5"/>
  <c r="E12" i="5"/>
  <c r="E13" i="5"/>
  <c r="E14" i="5"/>
  <c r="E15" i="5"/>
  <c r="E16" i="5"/>
  <c r="E17" i="5"/>
  <c r="E18" i="5"/>
  <c r="E19" i="5"/>
  <c r="E20" i="5"/>
  <c r="E6" i="5"/>
  <c r="D36" i="5"/>
  <c r="C36" i="5"/>
  <c r="B30" i="5"/>
  <c r="B36" i="5" s="1"/>
  <c r="C22" i="5"/>
  <c r="B14" i="5"/>
  <c r="B5" i="5"/>
  <c r="D22" i="5" l="1"/>
  <c r="E22" i="5" s="1"/>
  <c r="C40" i="5"/>
  <c r="B37" i="5"/>
  <c r="B39" i="5"/>
  <c r="B22" i="5"/>
  <c r="B40" i="5" s="1"/>
  <c r="C23" i="5" l="1"/>
  <c r="D40" i="5"/>
  <c r="B41" i="5"/>
  <c r="K8" i="4" l="1"/>
  <c r="D27" i="4" l="1"/>
  <c r="D23" i="4"/>
  <c r="H74" i="2" l="1"/>
  <c r="M71" i="2" s="1"/>
  <c r="W30" i="2" l="1"/>
  <c r="M30" i="2" l="1"/>
  <c r="M6" i="2"/>
  <c r="M55" i="2" s="1"/>
  <c r="E22" i="3" l="1"/>
  <c r="E24" i="3"/>
  <c r="E23" i="3"/>
  <c r="C10" i="3"/>
  <c r="C11" i="3"/>
  <c r="C9" i="3"/>
  <c r="E5" i="3"/>
  <c r="E8" i="3"/>
  <c r="C8" i="3"/>
  <c r="D28" i="3"/>
  <c r="B28" i="3"/>
  <c r="B34" i="3"/>
  <c r="E19" i="3"/>
  <c r="B19" i="3"/>
  <c r="D12" i="3"/>
  <c r="B12" i="3"/>
  <c r="C5" i="3"/>
  <c r="C6" i="3"/>
  <c r="C16" i="3"/>
  <c r="C26" i="3"/>
  <c r="C22" i="3"/>
  <c r="C23" i="3"/>
  <c r="C24" i="3"/>
  <c r="C15" i="3"/>
  <c r="C7" i="3"/>
  <c r="C17" i="3"/>
  <c r="D18" i="3"/>
  <c r="D19" i="3" s="1"/>
  <c r="C25" i="3"/>
  <c r="C27" i="3"/>
  <c r="C31" i="3"/>
  <c r="D32" i="3"/>
  <c r="C32" i="3" s="1"/>
  <c r="C33" i="3"/>
  <c r="E12" i="3" l="1"/>
  <c r="E28" i="3"/>
  <c r="D34" i="3"/>
  <c r="C18" i="3"/>
  <c r="C38" i="2" l="1"/>
  <c r="C39" i="2"/>
  <c r="C40" i="2"/>
  <c r="C35" i="2"/>
  <c r="C23" i="2"/>
  <c r="C10" i="2"/>
  <c r="C14" i="2"/>
  <c r="C24" i="2"/>
  <c r="C16" i="2"/>
  <c r="C25" i="2"/>
  <c r="C17" i="2"/>
  <c r="C18" i="2"/>
  <c r="C11" i="2"/>
  <c r="C15" i="2"/>
  <c r="C26" i="2"/>
  <c r="C27" i="2"/>
  <c r="C28" i="2"/>
  <c r="C19" i="2"/>
  <c r="C22" i="2" l="1"/>
  <c r="C36" i="2"/>
  <c r="D37" i="2"/>
  <c r="D78" i="2" l="1"/>
  <c r="C37" i="2"/>
  <c r="F7" i="2"/>
  <c r="F10" i="2"/>
  <c r="L10" i="2" l="1"/>
  <c r="F30" i="2"/>
  <c r="F56" i="2"/>
  <c r="E56" i="2"/>
  <c r="X10" i="2" l="1"/>
  <c r="M52" i="2"/>
  <c r="M57" i="2" s="1"/>
  <c r="M63" i="2" s="1"/>
  <c r="G52" i="2"/>
  <c r="F31" i="2"/>
  <c r="M69" i="2"/>
  <c r="E8" i="2" l="1"/>
  <c r="F8" i="2"/>
  <c r="W6" i="2"/>
  <c r="W55" i="2" s="1"/>
  <c r="V6" i="2"/>
  <c r="V55" i="2" s="1"/>
  <c r="G6" i="2"/>
  <c r="G55" i="2" l="1"/>
  <c r="H34" i="2"/>
  <c r="X34" i="2" s="1"/>
  <c r="X6" i="2"/>
  <c r="V74" i="2"/>
  <c r="X69" i="2"/>
  <c r="D41" i="2"/>
  <c r="D69" i="2"/>
  <c r="E74" i="2"/>
  <c r="F74" i="2"/>
  <c r="G74" i="2"/>
  <c r="M74" i="2"/>
  <c r="W74" i="2"/>
  <c r="D74" i="2"/>
  <c r="C30" i="2"/>
  <c r="D52" i="2" l="1"/>
  <c r="D57" i="2" s="1"/>
  <c r="D63" i="2" s="1"/>
  <c r="AC79" i="2"/>
  <c r="D79" i="2"/>
  <c r="X56" i="2"/>
  <c r="C41" i="2"/>
  <c r="X74" i="2"/>
  <c r="E57" i="2"/>
  <c r="E63" i="2" s="1"/>
  <c r="AC80" i="2" l="1"/>
  <c r="AE79" i="2"/>
  <c r="E76" i="2"/>
  <c r="E58" i="2"/>
  <c r="X64" i="2"/>
  <c r="X61" i="2"/>
  <c r="X62" i="2" l="1"/>
  <c r="G7" i="2"/>
  <c r="G8" i="2" s="1"/>
  <c r="F57" i="2"/>
  <c r="F63" i="2" l="1"/>
  <c r="F58" i="2"/>
  <c r="G56" i="2"/>
  <c r="G58" i="2" s="1"/>
  <c r="F76" i="2"/>
  <c r="B57" i="2"/>
  <c r="B76" i="2" s="1"/>
  <c r="C52" i="2"/>
  <c r="G53" i="2"/>
  <c r="W57" i="2"/>
  <c r="W63" i="2" s="1"/>
  <c r="V57" i="2"/>
  <c r="V63" i="2" s="1"/>
  <c r="G57" i="2"/>
  <c r="G76" i="2" l="1"/>
  <c r="G63" i="2"/>
  <c r="B63" i="2"/>
  <c r="G59" i="2"/>
  <c r="D66" i="2"/>
  <c r="D76" i="2" s="1"/>
  <c r="H76" i="2"/>
  <c r="M7" i="2"/>
  <c r="M8" i="2" s="1"/>
  <c r="M56" i="2" s="1"/>
  <c r="M58" i="2" s="1"/>
  <c r="V7" i="2" s="1"/>
  <c r="V8" i="2" s="1"/>
  <c r="V56" i="2" s="1"/>
  <c r="V58" i="2" s="1"/>
  <c r="W7" i="2" s="1"/>
  <c r="W8" i="2" s="1"/>
  <c r="W56" i="2" s="1"/>
  <c r="W58" i="2" s="1"/>
  <c r="V76" i="2" l="1"/>
  <c r="W76" i="2"/>
  <c r="M76" i="2"/>
  <c r="X76" i="2" l="1"/>
  <c r="Q57" i="2" l="1"/>
  <c r="L23" i="2"/>
  <c r="Q63" i="2" l="1"/>
  <c r="O58" i="2"/>
  <c r="U58" i="2"/>
  <c r="L30" i="2"/>
  <c r="L57" i="2" s="1"/>
  <c r="L63" i="2" s="1"/>
  <c r="X23" i="2"/>
  <c r="X30" i="2" s="1"/>
  <c r="AD78" i="2"/>
  <c r="AD80" i="2" l="1"/>
  <c r="AE78" i="2"/>
  <c r="AE80" i="2" s="1"/>
  <c r="X57" i="2"/>
  <c r="X66" i="2" l="1"/>
  <c r="X6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Rachel Brosnahan</author>
  </authors>
  <commentList>
    <comment ref="D22" authorId="0" shapeId="0" xr:uid="{00000000-0006-0000-0100-000001000000}">
      <text>
        <r>
          <rPr>
            <b/>
            <sz val="9"/>
            <color indexed="81"/>
            <rFont val="Tahoma"/>
            <family val="2"/>
          </rPr>
          <t>Rachel Brosnahan:</t>
        </r>
        <r>
          <rPr>
            <sz val="9"/>
            <color indexed="81"/>
            <rFont val="Tahoma"/>
            <family val="2"/>
          </rPr>
          <t xml:space="preserve">
£2.35m from LTB)
</t>
        </r>
      </text>
    </comment>
    <comment ref="B36" authorId="0" shapeId="0" xr:uid="{00000000-0006-0000-0100-000002000000}">
      <text>
        <r>
          <rPr>
            <b/>
            <sz val="9"/>
            <color indexed="81"/>
            <rFont val="Tahoma"/>
            <family val="2"/>
          </rPr>
          <t>Rachel Brosnahan:</t>
        </r>
        <r>
          <rPr>
            <sz val="9"/>
            <color indexed="81"/>
            <rFont val="Tahoma"/>
            <family val="2"/>
          </rPr>
          <t xml:space="preserve">
Could be as high as £90m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Rachel Brosnahan</author>
  </authors>
  <commentList>
    <comment ref="C10" authorId="0" shapeId="0" xr:uid="{1D65AA72-BD76-43AC-B3FB-2EA7BA8D2BDC}">
      <text>
        <r>
          <rPr>
            <b/>
            <sz val="9"/>
            <color indexed="81"/>
            <rFont val="Tahoma"/>
            <family val="2"/>
          </rPr>
          <t>Rachel Brosnahan:</t>
        </r>
        <r>
          <rPr>
            <sz val="9"/>
            <color indexed="81"/>
            <rFont val="Tahoma"/>
            <family val="2"/>
          </rPr>
          <t xml:space="preserve">
£2.35m from LTB)
</t>
        </r>
      </text>
    </comment>
    <comment ref="B24" authorId="0" shapeId="0" xr:uid="{BCF6CB80-03E1-43A8-A67A-BB75B71080EE}">
      <text>
        <r>
          <rPr>
            <b/>
            <sz val="9"/>
            <color indexed="81"/>
            <rFont val="Tahoma"/>
            <family val="2"/>
          </rPr>
          <t>Rachel Brosnahan:</t>
        </r>
        <r>
          <rPr>
            <sz val="9"/>
            <color indexed="81"/>
            <rFont val="Tahoma"/>
            <family val="2"/>
          </rPr>
          <t xml:space="preserve">
Could be as high as £90m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Rachel Brosnahan</author>
  </authors>
  <commentList>
    <comment ref="B17" authorId="0" shapeId="0" xr:uid="{00000000-0006-0000-0300-000001000000}">
      <text>
        <r>
          <rPr>
            <b/>
            <sz val="9"/>
            <color indexed="81"/>
            <rFont val="Tahoma"/>
            <family val="2"/>
          </rPr>
          <t>Rachel Brosnahan:</t>
        </r>
        <r>
          <rPr>
            <sz val="9"/>
            <color indexed="81"/>
            <rFont val="Tahoma"/>
            <family val="2"/>
          </rPr>
          <t xml:space="preserve">
Could be as high as £90m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Rachel Brosnahan</author>
  </authors>
  <commentList>
    <comment ref="C22" authorId="0" shapeId="0" xr:uid="{00000000-0006-0000-0400-000001000000}">
      <text>
        <r>
          <rPr>
            <b/>
            <sz val="9"/>
            <color indexed="81"/>
            <rFont val="Tahoma"/>
            <family val="2"/>
          </rPr>
          <t>Rachel Brosnahan:</t>
        </r>
        <r>
          <rPr>
            <sz val="9"/>
            <color indexed="81"/>
            <rFont val="Tahoma"/>
            <family val="2"/>
          </rPr>
          <t xml:space="preserve">
Could be as high as £90m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Rachel Brosnahan</author>
  </authors>
  <commentList>
    <comment ref="C4" authorId="0" shapeId="0" xr:uid="{91F60EAC-4D5A-4C06-8B5D-9457091DAD6E}">
      <text>
        <r>
          <rPr>
            <b/>
            <sz val="9"/>
            <color indexed="81"/>
            <rFont val="Tahoma"/>
            <family val="2"/>
          </rPr>
          <t>Rachel Brosnahan:</t>
        </r>
        <r>
          <rPr>
            <sz val="9"/>
            <color indexed="81"/>
            <rFont val="Tahoma"/>
            <family val="2"/>
          </rPr>
          <t xml:space="preserve">
£2.35m from LTB)
</t>
        </r>
      </text>
    </comment>
  </commentList>
</comments>
</file>

<file path=xl/sharedStrings.xml><?xml version="1.0" encoding="utf-8"?>
<sst xmlns="http://schemas.openxmlformats.org/spreadsheetml/2006/main" count="488" uniqueCount="281">
  <si>
    <t>LGF projects - Key Milestones for publicity</t>
  </si>
  <si>
    <t>Activity</t>
  </si>
  <si>
    <t xml:space="preserve">April </t>
  </si>
  <si>
    <t>May</t>
  </si>
  <si>
    <t>June</t>
  </si>
  <si>
    <t>July</t>
  </si>
  <si>
    <t>August</t>
  </si>
  <si>
    <t>September</t>
  </si>
  <si>
    <t>October</t>
  </si>
  <si>
    <t>November</t>
  </si>
  <si>
    <t>December</t>
  </si>
  <si>
    <t>January</t>
  </si>
  <si>
    <t>February</t>
  </si>
  <si>
    <t>March</t>
  </si>
  <si>
    <t>April</t>
  </si>
  <si>
    <t>17/18</t>
  </si>
  <si>
    <t>18/19</t>
  </si>
  <si>
    <t>Project</t>
  </si>
  <si>
    <t>Sydney Road Bridge</t>
  </si>
  <si>
    <t>Conditional Offer Letter issued</t>
  </si>
  <si>
    <t>Planning approved</t>
  </si>
  <si>
    <t>Project Starts on site</t>
  </si>
  <si>
    <t>Crewe Green Roundabout</t>
  </si>
  <si>
    <t>Project finishes</t>
  </si>
  <si>
    <t>Reaseheath Agri Tech Centre</t>
  </si>
  <si>
    <t>Reaseheath Learning Hub and Accommodation</t>
  </si>
  <si>
    <t>Reaseheath Employer Focused Hub</t>
  </si>
  <si>
    <t>Reaseheath Sports Science and Performance Academy</t>
  </si>
  <si>
    <t>Cheshire and Warrington Growth Hub</t>
  </si>
  <si>
    <t>Crewe High Growth City – Congleton Link Road</t>
  </si>
  <si>
    <t>Official opening</t>
  </si>
  <si>
    <t>First tennants move in</t>
  </si>
  <si>
    <t>Offer letter issued</t>
  </si>
  <si>
    <t>First £1m invested?</t>
  </si>
  <si>
    <t>Start on site</t>
  </si>
  <si>
    <t>Ellesmere Port Central Development Zone</t>
  </si>
  <si>
    <t>Warrington West Station</t>
  </si>
  <si>
    <t>Warrington Waterfront (Centre Park Link)</t>
  </si>
  <si>
    <t>OMEGA - Birchwood Pinchpoint</t>
  </si>
  <si>
    <t>Chester Central</t>
  </si>
  <si>
    <t xml:space="preserve"> M &amp; Cheshire Life Science Investment Programme</t>
  </si>
  <si>
    <t>Thornton Science Park</t>
  </si>
  <si>
    <t>M62 J8 Junction Improvements</t>
  </si>
  <si>
    <t>West Cheshire College</t>
  </si>
  <si>
    <t>AMRC</t>
  </si>
  <si>
    <t>Jodrell Bank</t>
  </si>
  <si>
    <t>Poynton Relief Road</t>
  </si>
  <si>
    <t>Reaseheath Additional Accomodation</t>
  </si>
  <si>
    <t>Conditional offer letter</t>
  </si>
  <si>
    <t>Cheshire Green</t>
  </si>
  <si>
    <t>Growing Places Fund</t>
  </si>
  <si>
    <t>Crewe Ready Heart</t>
  </si>
  <si>
    <t>LGF3 projects??</t>
  </si>
  <si>
    <t>Total grant</t>
  </si>
  <si>
    <t>Paid in 16/17</t>
  </si>
  <si>
    <t>19/20</t>
  </si>
  <si>
    <t>20/21</t>
  </si>
  <si>
    <t>Total</t>
  </si>
  <si>
    <t>Ellesmere Port and Chester Campus remodelling</t>
  </si>
  <si>
    <t>Paid in 15/16</t>
  </si>
  <si>
    <t>Major Transport Schemes</t>
  </si>
  <si>
    <t>LGF1/2</t>
  </si>
  <si>
    <t>LGF3</t>
  </si>
  <si>
    <t>Skills</t>
  </si>
  <si>
    <t>Energy Innovation</t>
  </si>
  <si>
    <t>Unlocking Winsford Industrial expansion Land</t>
  </si>
  <si>
    <t>Warrington East Highways Improvements</t>
  </si>
  <si>
    <t>Joint Cheshire and Warrington Sustainable Travel Access Fund</t>
  </si>
  <si>
    <t>Omega Local Highways Schemes phase 2</t>
  </si>
  <si>
    <t>Tarvin Road</t>
  </si>
  <si>
    <t>Total LGF3 Spend</t>
  </si>
  <si>
    <t>Total LGF 1/2/3 spend</t>
  </si>
  <si>
    <t>Total LGF 1/2 spend</t>
  </si>
  <si>
    <t>GM &amp; Cheshire Life Science Investment Programme</t>
  </si>
  <si>
    <t>GPF</t>
  </si>
  <si>
    <t>Middlewich Bypass</t>
  </si>
  <si>
    <t>A500 dualing</t>
  </si>
  <si>
    <t>Comment</t>
  </si>
  <si>
    <t>Cheshire Green Employment Park</t>
  </si>
  <si>
    <t>Management Charge (1%)</t>
  </si>
  <si>
    <t>Indicative allocation / Profile</t>
  </si>
  <si>
    <t>BEIS funding Profile</t>
  </si>
  <si>
    <t>Difference between profile and forecast spend</t>
  </si>
  <si>
    <t>LEP total spend by year</t>
  </si>
  <si>
    <t>Opening Balance</t>
  </si>
  <si>
    <t>Total Balance (profile +c/f)</t>
  </si>
  <si>
    <t>DfT given £2m development grant. May not start until 2021</t>
  </si>
  <si>
    <t>Funding defrayed on CEC projects</t>
  </si>
  <si>
    <t>Difference</t>
  </si>
  <si>
    <t>Balance c/f (defrayed by CEC)</t>
  </si>
  <si>
    <t>TotaL LGF BEIS profile + CF funding</t>
  </si>
  <si>
    <t>Crewe High Speed-ready Heart Town Centre Regeneration Programme</t>
  </si>
  <si>
    <t>Total project cost (£)</t>
  </si>
  <si>
    <t>Intevention rate (%)</t>
  </si>
  <si>
    <t>Total Project Cost</t>
  </si>
  <si>
    <t>LGF/DFT grant funding</t>
  </si>
  <si>
    <t>Cheshire East Council</t>
  </si>
  <si>
    <t>Cheshire West and Cheshire Council</t>
  </si>
  <si>
    <t>Warrington Brough Council</t>
  </si>
  <si>
    <t>Current status</t>
  </si>
  <si>
    <t>Spent to date</t>
  </si>
  <si>
    <t>total</t>
  </si>
  <si>
    <t>Sub-regional Projects</t>
  </si>
  <si>
    <t>Outline business case being finalised.  Detailed design work commenced.</t>
  </si>
  <si>
    <t>Balfour Beatty appointed to take project through to pre-construction.  Order plaecd with BT for diversions.  Public consultation complete. Planning app submitted.  Conditional Offer from LEP issued in March.  First claim paid.</t>
  </si>
  <si>
    <t>Jacobs have been appointed to manage the project. Public consultation complete.  Planning approved.  Rail possessions booked. Conditional offer letter issued by LEP and first claim paid</t>
  </si>
  <si>
    <t>Bus Interchange complete</t>
  </si>
  <si>
    <t>Complete</t>
  </si>
  <si>
    <t>Appointed Bus case consultants.  Will taking project to P&amp;I for conditional approval in September</t>
  </si>
  <si>
    <t>Planning permission from both Las granted.  Drafting CPOs.  Expect enquiry early 2018.</t>
  </si>
  <si>
    <t>CPO enquiry finished.  OJEU works notice due to be published in July.  Due to award contact in January 18.  On site September 18.</t>
  </si>
  <si>
    <t>Intervention Rate</t>
  </si>
  <si>
    <t>Project board established.  Design work progressing.  Most ecological and topographical studies complete.</t>
  </si>
  <si>
    <t>Initial design work complete producing 5 options.  Seeking to get MOUs signed by end of July and funding package agreed by end of September.</t>
  </si>
  <si>
    <t>Planning application in for Tiger trailer site but wider planning appliation for the site not ready.  Business case consultant appointed through LLP.</t>
  </si>
  <si>
    <t>Business case consultants appointed.  Due to got to January P&amp;I</t>
  </si>
  <si>
    <t>3 rounds of public consultation completed.  Planning approved.  LEP conditional offer lette issued and first claim paid</t>
  </si>
  <si>
    <t xml:space="preserve">Construction started on site in January 17 and due to complete in April 18.  Project has slipped one month. </t>
  </si>
  <si>
    <t>LEP conditional offer lette issued and first claim paid.  Planning application submitted.</t>
  </si>
  <si>
    <t>Initial design work undertaken.</t>
  </si>
  <si>
    <t>Waiting for agreement between autorities as to which shemes to deliver</t>
  </si>
  <si>
    <t>Strategy due to be completed in Autumn.  There will then be a call for projects</t>
  </si>
  <si>
    <t>Skills strategy being written.  There will then be a call for projects.</t>
  </si>
  <si>
    <t>Consultation events carried out.  Business case due to be presented to P&amp;I in November.</t>
  </si>
  <si>
    <t>Projects broken down by Local Authority</t>
  </si>
  <si>
    <t>Actual Q1 17/18</t>
  </si>
  <si>
    <t>Growth Hub</t>
  </si>
  <si>
    <t>Profiled          17/18</t>
  </si>
  <si>
    <t>Actual Q2 17/18</t>
  </si>
  <si>
    <t>Project Name</t>
  </si>
  <si>
    <t>Total Cost (£)</t>
  </si>
  <si>
    <t>RAG Status</t>
  </si>
  <si>
    <t>LGF 1/2</t>
  </si>
  <si>
    <t>LGF 3</t>
  </si>
  <si>
    <t>In design.  Due to start on Site in November 18.  Slight issue with land required for crane for bridge</t>
  </si>
  <si>
    <t>Planning permission granted 27.09.17.  P&amp;I given full approval</t>
  </si>
  <si>
    <t>Chester Central (Northgate and Bus Interchange)</t>
  </si>
  <si>
    <t>Birchwood Pinchpoint</t>
  </si>
  <si>
    <t>M62 J8 Junction Improvements (Omega)</t>
  </si>
  <si>
    <t>Completed</t>
  </si>
  <si>
    <t>Fund now invested £6.3m into 14 companies.  Not likely to achieve outputs and want to negotiate</t>
  </si>
  <si>
    <t>On site</t>
  </si>
  <si>
    <t>Demolition work started.  Concern about contactors costs, but College will pick up overspend.</t>
  </si>
  <si>
    <t>On site and going well.</t>
  </si>
  <si>
    <t>Project complete, 5 businesses, employing 13 staff now in the building but the Energy Demonstrator Hall is still empty.</t>
  </si>
  <si>
    <t>Design work ongoing.  Current design options £12m over budget.  Not all stakeholders have signed MOU and still not clear of space requirements of all stakeholders.  Funding strategy delayed until November when design work is due to be completed.</t>
  </si>
  <si>
    <t>Phase 1 completed.  Design work for phase 2 ongoing</t>
  </si>
  <si>
    <t>Outline business case being developed.  Due to seek outline approval from P&amp;I in October</t>
  </si>
  <si>
    <t>Outline business case being developed.  Due to seek outline approval from P&amp;I in January</t>
  </si>
  <si>
    <t>Design work continuing.  Work on the business case has commenced.</t>
  </si>
  <si>
    <t>Awaiting the skills strategy</t>
  </si>
  <si>
    <t>Energy Strategy being worked on.  Due to be completed in December</t>
  </si>
  <si>
    <t>Call for projects due to be issues as Local authorities cannot reach agreement on priorities.</t>
  </si>
  <si>
    <t>Congleton Link Road</t>
  </si>
  <si>
    <t>Route options reduced to two and are being further developed. Outline business case being developed.</t>
  </si>
  <si>
    <t>Work continuing on CPO process.  Public inquiry expected in early 2018.  Costs £19m over original budget.  CEC working on a funding strategy.</t>
  </si>
  <si>
    <t>Summary of project status</t>
  </si>
  <si>
    <t>Birchwood Pinch point</t>
  </si>
  <si>
    <t>On site, going very well.  Due to complete in May 18.</t>
  </si>
  <si>
    <t xml:space="preserve">Project progressing well.  Due to start on site in December/early January </t>
  </si>
  <si>
    <t>Conditional approval from P&amp;I.  Council funding approved.  Design work progressing.</t>
  </si>
  <si>
    <t>Design work continuing on what is a five part scheme.  Require £2m of Enterprise Zone funding which will need to be cash flowed and is causing some concern at WBC</t>
  </si>
  <si>
    <t>Consultation events due to be held.  Design work continuing.  BCR is currently low.  Needs to tie in with HS2 announcement.</t>
  </si>
  <si>
    <t>Grant (£)</t>
  </si>
  <si>
    <t>£12m over budget.  Progressing through stage 2 tender process.  BCR is only showing at 2.2 at the moment.  Could become an issue if the costs escalate further.</t>
  </si>
  <si>
    <t>On site and going well. Recently received press coverage.</t>
  </si>
  <si>
    <t>Centre Park Link</t>
  </si>
  <si>
    <t>Compulsory Purchase Order process has started.  Peel have now agreed a price for the bridging rights, but still dispute with Maro over land values.  Two smaller pieces of land also required.  Whole programme has been pushed back 15mths to cover.  Could be bought forward if agreement can be reached over the land values for the trhee remaining plots required.</t>
  </si>
  <si>
    <t>5.10.17</t>
  </si>
  <si>
    <t>Bus Station completed and operational.  Monthly information now being submitted for Northgate which is really useful.  Does show there is significant uncertainty about funding of Northgate scheme and issues with puchasing all the property required.  CPO process behind schedule.</t>
  </si>
  <si>
    <t>Reaseheath Sports Science and Performance Academy (osprey)</t>
  </si>
  <si>
    <t>Spend by Quarter breakdown</t>
  </si>
  <si>
    <t>Total for 17/18</t>
  </si>
  <si>
    <t>LGF total profile</t>
  </si>
  <si>
    <t>LGF Revenue</t>
  </si>
  <si>
    <t>Housing Fund Revenue (CWAC)</t>
  </si>
  <si>
    <t>DfT Tail majors including Crewe Green Link Road</t>
  </si>
  <si>
    <t>as above</t>
  </si>
  <si>
    <t>Completed Projects</t>
  </si>
  <si>
    <t>Live Projects</t>
  </si>
  <si>
    <t>Total LGF allocation</t>
  </si>
  <si>
    <t>Actual q3 17/18</t>
  </si>
  <si>
    <t>Actual  q4 17/18</t>
  </si>
  <si>
    <t>Paid in 17/18</t>
  </si>
  <si>
    <t>Profiled Q1 18/19</t>
  </si>
  <si>
    <t>Profiled Q2 18/19</t>
  </si>
  <si>
    <t>Profiled Q3 18/19</t>
  </si>
  <si>
    <t>Profiled Q4 18/19</t>
  </si>
  <si>
    <t>Updated profile 17.04.18</t>
  </si>
  <si>
    <t>reprofiled 17.04.18 to reflect revised int. rate and need to hold back 10%</t>
  </si>
  <si>
    <t>updated 17.04.18</t>
  </si>
  <si>
    <t>Date updated:</t>
  </si>
  <si>
    <t>Profiled 18/19</t>
  </si>
  <si>
    <t>Actual q1 18/19</t>
  </si>
  <si>
    <t>Paid to date</t>
  </si>
  <si>
    <t>Profile updated May 18</t>
  </si>
  <si>
    <t>updated May 18. £1.257m secured fom DfT.  Project not due to complete until 2021.  No funding will come through LEP.</t>
  </si>
  <si>
    <t>Profile updated 06.06.18 dependent on land issues being resolved.  Profile reflects funding 100% of costs to date and looks to hold back 10% in final year</t>
  </si>
  <si>
    <t>Public Match £</t>
  </si>
  <si>
    <t>Private Match £</t>
  </si>
  <si>
    <t>Private Match %</t>
  </si>
  <si>
    <t>Public Match %</t>
  </si>
  <si>
    <t>LGF grant</t>
  </si>
  <si>
    <t>LGF Grant %</t>
  </si>
  <si>
    <t>Check</t>
  </si>
  <si>
    <t>£4.826m of S106, £3m HE and £1.826m WBC</t>
  </si>
  <si>
    <t>£10,095,096 WBC, £3,685,904 HIF</t>
  </si>
  <si>
    <t>£25k Skills Call</t>
  </si>
  <si>
    <t>Total value of LGF projects</t>
  </si>
  <si>
    <t>£1,854000 S106. £7.08m WBC, £4.23m New stations Fund</t>
  </si>
  <si>
    <t>£.5m LTP and £4.028m S106</t>
  </si>
  <si>
    <t>£14.7m CEC</t>
  </si>
  <si>
    <t>£40,167 s106, £1.741m CWAC</t>
  </si>
  <si>
    <t>£1.95m NPIF, £2.25m S106</t>
  </si>
  <si>
    <t>£593198 of college funding</t>
  </si>
  <si>
    <t>Total value of projects</t>
  </si>
  <si>
    <t>Total Cost</t>
  </si>
  <si>
    <t>As above</t>
  </si>
  <si>
    <t>Sub Total</t>
  </si>
  <si>
    <t>Total of all schemes</t>
  </si>
  <si>
    <t>Notes</t>
  </si>
  <si>
    <t>Phase 3 just started.  Scheme due to complete in October</t>
  </si>
  <si>
    <t>Phase one on site.  Main works due to start on site in October</t>
  </si>
  <si>
    <t>Land negoatiations ongoing.  Hopefully will in January 19</t>
  </si>
  <si>
    <t>On site.  Due to complete September 19</t>
  </si>
  <si>
    <t>FBC being developed</t>
  </si>
  <si>
    <t xml:space="preserve">On site  </t>
  </si>
  <si>
    <t xml:space="preserve">In development.  </t>
  </si>
  <si>
    <t>In development.  Awaiting planning inspector review</t>
  </si>
  <si>
    <t>8 schemes across cheshire and warrington.  All in development</t>
  </si>
  <si>
    <t>Contractor just appointed</t>
  </si>
  <si>
    <t>In development</t>
  </si>
  <si>
    <t>Glasshouse Alderley Park</t>
  </si>
  <si>
    <t xml:space="preserve">Updated profile on 02.08.18  </t>
  </si>
  <si>
    <t>Profile from CEC updated 02.08.18</t>
  </si>
  <si>
    <t>Sutton Way Boulevard, Ellesmere Port</t>
  </si>
  <si>
    <t>updated 11.09.18.  needs confirming by WBC</t>
  </si>
  <si>
    <t>seeking full approval Dec 18</t>
  </si>
  <si>
    <t>Ellesmere Port Schemes</t>
  </si>
  <si>
    <t>Name</t>
  </si>
  <si>
    <t>Status</t>
  </si>
  <si>
    <t>Total project costs (£)</t>
  </si>
  <si>
    <t>Thornton Energy Demonstrator</t>
  </si>
  <si>
    <t>Complete.  Part occupied</t>
  </si>
  <si>
    <t xml:space="preserve">Ellesmere Port and Chester campus remodelling </t>
  </si>
  <si>
    <t>LGF  (£)</t>
  </si>
  <si>
    <t>Seeking outline approval at P&amp;I in October</t>
  </si>
  <si>
    <t>In principle approval given.  Awaiting business plan</t>
  </si>
  <si>
    <t>Actual q2  18/19</t>
  </si>
  <si>
    <t>Macclesfield College  - Chef's Whites Academy</t>
  </si>
  <si>
    <t>Actual q3 18/19</t>
  </si>
  <si>
    <t>Fully claimed</t>
  </si>
  <si>
    <t>5% left to claim</t>
  </si>
  <si>
    <t>Based on profile provided April 18. Awaiting reprofile</t>
  </si>
  <si>
    <t>No. Projects</t>
  </si>
  <si>
    <t>Total Costs</t>
  </si>
  <si>
    <t>Total Grant</t>
  </si>
  <si>
    <t>Total paid</t>
  </si>
  <si>
    <t>Still to claim</t>
  </si>
  <si>
    <t>LGF 1/2 Projects live</t>
  </si>
  <si>
    <t>LGF3 live</t>
  </si>
  <si>
    <t>Sub total</t>
  </si>
  <si>
    <t>LGF 1/2 Projects Completed</t>
  </si>
  <si>
    <t>major transport schemes (poynton and congleton covered under LGF1/2)</t>
  </si>
  <si>
    <t>Burtonwood Omega Path (WBC)</t>
  </si>
  <si>
    <t>Chester Road (WBC)</t>
  </si>
  <si>
    <t>TPT Upgrade (WBC)</t>
  </si>
  <si>
    <t>Wilmslow Strategic Cycle and Walking route (CEC)</t>
  </si>
  <si>
    <t>Northwest Crewe Cycling and Walking Link (CEC)</t>
  </si>
  <si>
    <t>A5117 Cycle Route, Ellesmere Port (CWAC)</t>
  </si>
  <si>
    <t>Station View and Canal Towpath (CWAC)</t>
  </si>
  <si>
    <t>Sutton Way Boulevard, Ellesmere Port (CWAC)</t>
  </si>
  <si>
    <t>Profile updated November 18 following OBC submission</t>
  </si>
  <si>
    <t>Updated November 18 based on OBC approvel in Feb 19</t>
  </si>
  <si>
    <t>Seeking full approval mar 19</t>
  </si>
  <si>
    <t>Estimated profile</t>
  </si>
  <si>
    <t>Estimated profile updated jan 19</t>
  </si>
  <si>
    <t>CPO process underway.  Profile updated Jan 19</t>
  </si>
  <si>
    <t>Updated Jan 19</t>
  </si>
  <si>
    <t xml:space="preserve">Total LGF </t>
  </si>
  <si>
    <t>Total Retained majors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</si>
</sst>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 #,##0_-;_-* &quot;-&quot;??_-;_-@_-"/>
  </numFmts>
  <fonts count="17" x14ac:knownFonts="1">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charset val="1"/>
      <scheme val="minor"/>
    </font>
    <font>
      <sz val="9"/>
      <color indexed="81"/>
      <name val="Tahoma"/>
      <family val="2"/>
    </font>
    <font>
      <b/>
      <sz val="9"/>
      <color indexed="81"/>
      <name val="Tahoma"/>
      <family val="2"/>
    </font>
    <font>
      <sz val="12"/>
      <color theme="1"/>
      <name val="Arial"/>
      <family val="2"/>
    </font>
    <font>
      <b/>
      <sz val="12"/>
      <color theme="1"/>
      <name val="Arial"/>
      <family val="2"/>
    </font>
    <font>
      <b/>
      <u/>
      <sz val="14"/>
      <color theme="1"/>
      <name val="Calibri"/>
      <family val="2"/>
      <scheme val="minor"/>
    </font>
    <font>
      <sz val="13"/>
      <color theme="1"/>
      <name val="Calibri"/>
      <family val="2"/>
      <scheme val="minor"/>
    </font>
    <font>
      <b/>
      <sz val="13"/>
      <color theme="1"/>
      <name val="Calibri"/>
      <family val="2"/>
      <scheme val="minor"/>
    </font>
    <font>
      <sz val="12"/>
      <color theme="1"/>
      <name val="Calibri"/>
      <family val="2"/>
      <scheme val="minor"/>
    </font>
  </fonts>
  <fills count="24">
    <fill>
      <patternFill patternType="none"/>
    </fill>
    <fill>
      <patternFill patternType="gray125"/>
    </fill>
    <fill>
      <patternFill patternType="solid">
        <fgColor theme="4" tint="-0.249977111117893"/>
        <bgColor indexed="64"/>
      </patternFill>
    </fill>
    <fill>
      <patternFill patternType="solid">
        <fgColor theme="8" tint="-0.249977111117893"/>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1F373"/>
        <bgColor indexed="64"/>
      </patternFill>
    </fill>
    <fill>
      <patternFill patternType="solid">
        <fgColor theme="3" tint="0.59999389629810485"/>
        <bgColor indexed="64"/>
      </patternFill>
    </fill>
    <fill>
      <patternFill patternType="solid">
        <fgColor rgb="FFC7ACD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43" fontId="5" fillId="0" borderId="0" applyFont="0" applyFill="0" applyBorder="0" applyAlignment="0" applyProtection="0"/>
  </cellStyleXfs>
  <cellXfs count="214">
    <xf numFmtId="0" fontId="0" fillId="0" borderId="0" xfId="0"/>
    <xf numFmtId="0" fontId="0" fillId="0" borderId="1" xfId="0" applyBorder="1"/>
    <xf numFmtId="0" fontId="1" fillId="0" borderId="1" xfId="0" applyFont="1" applyBorder="1"/>
    <xf numFmtId="0" fontId="0" fillId="0" borderId="2" xfId="0" applyBorder="1"/>
    <xf numFmtId="0" fontId="1" fillId="0" borderId="1" xfId="0" applyFont="1" applyBorder="1" applyAlignment="1">
      <alignment wrapText="1"/>
    </xf>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2" fillId="0" borderId="0" xfId="0" applyFont="1" applyAlignment="1">
      <alignment wrapText="1"/>
    </xf>
    <xf numFmtId="0" fontId="1" fillId="0" borderId="0" xfId="0" applyFont="1" applyAlignment="1">
      <alignment wrapText="1"/>
    </xf>
    <xf numFmtId="0" fontId="1" fillId="0" borderId="2" xfId="0" applyFont="1" applyBorder="1" applyAlignment="1">
      <alignment wrapText="1"/>
    </xf>
    <xf numFmtId="0" fontId="0" fillId="6" borderId="1" xfId="0" applyFill="1" applyBorder="1"/>
    <xf numFmtId="0" fontId="3" fillId="7" borderId="1" xfId="0" applyFont="1" applyFill="1" applyBorder="1" applyAlignment="1">
      <alignment wrapText="1"/>
    </xf>
    <xf numFmtId="0" fontId="4" fillId="7" borderId="1" xfId="0" applyFont="1" applyFill="1" applyBorder="1"/>
    <xf numFmtId="165" fontId="0" fillId="0" borderId="1" xfId="1" applyNumberFormat="1" applyFont="1" applyBorder="1"/>
    <xf numFmtId="0" fontId="6" fillId="10" borderId="1" xfId="0" applyFont="1" applyFill="1" applyBorder="1"/>
    <xf numFmtId="0" fontId="3" fillId="8" borderId="1" xfId="0" applyFont="1" applyFill="1" applyBorder="1" applyAlignment="1">
      <alignment wrapText="1"/>
    </xf>
    <xf numFmtId="165" fontId="1" fillId="0" borderId="1" xfId="1" applyNumberFormat="1" applyFont="1" applyBorder="1"/>
    <xf numFmtId="0" fontId="0" fillId="0" borderId="1" xfId="0" applyFont="1" applyBorder="1" applyAlignment="1">
      <alignment wrapText="1"/>
    </xf>
    <xf numFmtId="0" fontId="0" fillId="0" borderId="3" xfId="0" applyFont="1" applyBorder="1" applyAlignment="1">
      <alignment horizontal="left"/>
    </xf>
    <xf numFmtId="0" fontId="0" fillId="0" borderId="1" xfId="0" applyFont="1" applyBorder="1" applyAlignment="1">
      <alignment horizontal="left" wrapText="1"/>
    </xf>
    <xf numFmtId="165" fontId="0" fillId="0" borderId="5" xfId="1" applyNumberFormat="1" applyFont="1" applyBorder="1"/>
    <xf numFmtId="165" fontId="1" fillId="0" borderId="5" xfId="1" applyNumberFormat="1" applyFont="1" applyBorder="1"/>
    <xf numFmtId="0" fontId="6" fillId="11" borderId="1" xfId="0" applyFont="1" applyFill="1" applyBorder="1" applyAlignment="1">
      <alignment wrapText="1"/>
    </xf>
    <xf numFmtId="0" fontId="3" fillId="12" borderId="1" xfId="0" applyFont="1" applyFill="1" applyBorder="1" applyAlignment="1">
      <alignment wrapText="1"/>
    </xf>
    <xf numFmtId="165" fontId="0" fillId="10" borderId="1" xfId="1" applyNumberFormat="1" applyFont="1" applyFill="1" applyBorder="1" applyAlignment="1">
      <alignment wrapText="1"/>
    </xf>
    <xf numFmtId="165" fontId="0" fillId="10" borderId="5" xfId="1" applyNumberFormat="1" applyFont="1" applyFill="1" applyBorder="1" applyAlignment="1">
      <alignment wrapText="1"/>
    </xf>
    <xf numFmtId="165" fontId="0" fillId="11" borderId="1" xfId="1" applyNumberFormat="1" applyFont="1" applyFill="1" applyBorder="1"/>
    <xf numFmtId="0" fontId="6" fillId="5" borderId="1" xfId="0" applyFont="1" applyFill="1" applyBorder="1" applyAlignment="1">
      <alignment wrapText="1"/>
    </xf>
    <xf numFmtId="165" fontId="7" fillId="5" borderId="1" xfId="1" applyNumberFormat="1" applyFont="1" applyFill="1" applyBorder="1"/>
    <xf numFmtId="165" fontId="1" fillId="5" borderId="1" xfId="1" applyNumberFormat="1" applyFont="1" applyFill="1" applyBorder="1" applyAlignment="1">
      <alignment wrapText="1"/>
    </xf>
    <xf numFmtId="0" fontId="3" fillId="5" borderId="1" xfId="0" applyFont="1" applyFill="1" applyBorder="1" applyAlignment="1">
      <alignment wrapText="1"/>
    </xf>
    <xf numFmtId="165" fontId="0" fillId="0" borderId="1" xfId="1" applyNumberFormat="1" applyFont="1" applyBorder="1" applyAlignment="1">
      <alignment wrapText="1"/>
    </xf>
    <xf numFmtId="0" fontId="0" fillId="0" borderId="4" xfId="0" applyFont="1" applyBorder="1" applyAlignment="1">
      <alignment wrapText="1"/>
    </xf>
    <xf numFmtId="165" fontId="0" fillId="0" borderId="4" xfId="1" applyNumberFormat="1" applyFont="1" applyBorder="1"/>
    <xf numFmtId="0" fontId="1" fillId="5" borderId="1" xfId="0" applyFont="1" applyFill="1" applyBorder="1" applyAlignment="1">
      <alignment wrapText="1"/>
    </xf>
    <xf numFmtId="165" fontId="1" fillId="5" borderId="5" xfId="1" applyNumberFormat="1" applyFont="1" applyFill="1" applyBorder="1" applyAlignment="1">
      <alignment wrapText="1"/>
    </xf>
    <xf numFmtId="0" fontId="1" fillId="13" borderId="1" xfId="0" applyFont="1" applyFill="1" applyBorder="1"/>
    <xf numFmtId="165" fontId="1" fillId="13" borderId="1" xfId="1" applyNumberFormat="1" applyFont="1" applyFill="1" applyBorder="1"/>
    <xf numFmtId="0" fontId="8" fillId="0" borderId="0" xfId="0" quotePrefix="1" applyFont="1" applyAlignment="1">
      <alignment wrapText="1"/>
    </xf>
    <xf numFmtId="43" fontId="0" fillId="0" borderId="1" xfId="1" applyFont="1" applyBorder="1" applyAlignment="1">
      <alignment wrapText="1"/>
    </xf>
    <xf numFmtId="43" fontId="0" fillId="0" borderId="1" xfId="1" applyFont="1" applyBorder="1"/>
    <xf numFmtId="165" fontId="0" fillId="0" borderId="4" xfId="1" applyNumberFormat="1" applyFont="1" applyBorder="1" applyAlignment="1">
      <alignment wrapText="1"/>
    </xf>
    <xf numFmtId="165" fontId="0" fillId="0" borderId="3" xfId="1" applyNumberFormat="1" applyFont="1" applyBorder="1" applyAlignment="1">
      <alignment horizontal="left"/>
    </xf>
    <xf numFmtId="165" fontId="0" fillId="0" borderId="1" xfId="1" applyNumberFormat="1" applyFont="1" applyBorder="1" applyAlignment="1">
      <alignment horizontal="left" wrapText="1"/>
    </xf>
    <xf numFmtId="165" fontId="1" fillId="0" borderId="1" xfId="1" applyNumberFormat="1" applyFont="1" applyBorder="1" applyAlignment="1">
      <alignment wrapText="1"/>
    </xf>
    <xf numFmtId="165" fontId="8" fillId="0" borderId="0" xfId="1" quotePrefix="1" applyNumberFormat="1" applyFont="1" applyAlignment="1">
      <alignment wrapText="1"/>
    </xf>
    <xf numFmtId="165" fontId="3" fillId="8" borderId="1" xfId="1" applyNumberFormat="1" applyFont="1" applyFill="1" applyBorder="1" applyAlignment="1">
      <alignment wrapText="1"/>
    </xf>
    <xf numFmtId="165" fontId="3" fillId="12" borderId="1" xfId="1" applyNumberFormat="1" applyFont="1" applyFill="1" applyBorder="1" applyAlignment="1">
      <alignment wrapText="1"/>
    </xf>
    <xf numFmtId="165" fontId="3" fillId="5" borderId="1" xfId="1" applyNumberFormat="1" applyFont="1" applyFill="1" applyBorder="1" applyAlignment="1">
      <alignment wrapText="1"/>
    </xf>
    <xf numFmtId="0" fontId="0" fillId="0" borderId="0" xfId="0" applyAlignment="1">
      <alignment wrapText="1"/>
    </xf>
    <xf numFmtId="0" fontId="0" fillId="0" borderId="1" xfId="0" applyBorder="1" applyAlignment="1">
      <alignment wrapText="1"/>
    </xf>
    <xf numFmtId="0" fontId="0" fillId="0" borderId="1" xfId="0" applyFont="1" applyBorder="1" applyAlignment="1">
      <alignment horizontal="left"/>
    </xf>
    <xf numFmtId="165" fontId="0" fillId="0" borderId="1" xfId="1" applyNumberFormat="1" applyFont="1" applyBorder="1" applyAlignment="1">
      <alignment horizontal="left"/>
    </xf>
    <xf numFmtId="0" fontId="8" fillId="0" borderId="1" xfId="0" quotePrefix="1" applyFont="1" applyBorder="1" applyAlignment="1">
      <alignment wrapText="1"/>
    </xf>
    <xf numFmtId="165" fontId="8" fillId="0" borderId="1" xfId="1" quotePrefix="1" applyNumberFormat="1" applyFont="1" applyBorder="1" applyAlignment="1">
      <alignment wrapText="1"/>
    </xf>
    <xf numFmtId="0" fontId="0" fillId="14" borderId="1" xfId="0" applyFill="1" applyBorder="1"/>
    <xf numFmtId="0" fontId="1" fillId="0" borderId="1" xfId="0" quotePrefix="1" applyFont="1" applyBorder="1" applyAlignment="1">
      <alignment wrapText="1"/>
    </xf>
    <xf numFmtId="165" fontId="1" fillId="0" borderId="1" xfId="1" quotePrefix="1" applyNumberFormat="1" applyFont="1" applyBorder="1" applyAlignment="1">
      <alignment wrapText="1"/>
    </xf>
    <xf numFmtId="165" fontId="1" fillId="0" borderId="1" xfId="0" applyNumberFormat="1" applyFont="1" applyBorder="1"/>
    <xf numFmtId="0" fontId="0" fillId="0" borderId="2" xfId="0" applyBorder="1" applyAlignment="1">
      <alignment wrapText="1"/>
    </xf>
    <xf numFmtId="0" fontId="0" fillId="15" borderId="1" xfId="0" applyFill="1" applyBorder="1" applyAlignment="1">
      <alignment wrapText="1"/>
    </xf>
    <xf numFmtId="0" fontId="6" fillId="16" borderId="1" xfId="0" applyFont="1" applyFill="1" applyBorder="1"/>
    <xf numFmtId="0" fontId="0" fillId="16" borderId="1" xfId="0" applyFill="1" applyBorder="1" applyAlignment="1">
      <alignment wrapText="1"/>
    </xf>
    <xf numFmtId="0" fontId="0" fillId="11" borderId="1" xfId="0" applyFill="1" applyBorder="1" applyAlignment="1">
      <alignment wrapText="1"/>
    </xf>
    <xf numFmtId="0" fontId="6" fillId="17" borderId="1" xfId="0" applyFont="1" applyFill="1" applyBorder="1"/>
    <xf numFmtId="0" fontId="0" fillId="17" borderId="1" xfId="0" applyFill="1" applyBorder="1" applyAlignment="1">
      <alignment wrapText="1"/>
    </xf>
    <xf numFmtId="0" fontId="6" fillId="15" borderId="1" xfId="0" applyFont="1" applyFill="1" applyBorder="1" applyAlignment="1">
      <alignment wrapText="1"/>
    </xf>
    <xf numFmtId="165" fontId="0" fillId="15" borderId="1" xfId="1" applyNumberFormat="1" applyFont="1" applyFill="1" applyBorder="1" applyAlignment="1">
      <alignment wrapText="1"/>
    </xf>
    <xf numFmtId="43" fontId="0" fillId="15" borderId="1" xfId="1" applyFont="1" applyFill="1" applyBorder="1" applyAlignment="1">
      <alignment wrapText="1"/>
    </xf>
    <xf numFmtId="165" fontId="0" fillId="15" borderId="1" xfId="1" applyNumberFormat="1" applyFont="1" applyFill="1" applyBorder="1"/>
    <xf numFmtId="165" fontId="0" fillId="16" borderId="1" xfId="1" applyNumberFormat="1" applyFont="1" applyFill="1" applyBorder="1"/>
    <xf numFmtId="165" fontId="0" fillId="11" borderId="1" xfId="1" applyNumberFormat="1" applyFont="1" applyFill="1" applyBorder="1" applyAlignment="1">
      <alignment wrapText="1"/>
    </xf>
    <xf numFmtId="43" fontId="0" fillId="11" borderId="1" xfId="1" applyFont="1" applyFill="1" applyBorder="1" applyAlignment="1">
      <alignment wrapText="1"/>
    </xf>
    <xf numFmtId="43" fontId="0" fillId="16" borderId="1" xfId="1" applyFont="1" applyFill="1" applyBorder="1"/>
    <xf numFmtId="0" fontId="1" fillId="14" borderId="1" xfId="0" applyFont="1" applyFill="1" applyBorder="1" applyAlignment="1">
      <alignment wrapText="1"/>
    </xf>
    <xf numFmtId="0" fontId="0" fillId="15" borderId="1" xfId="0" applyFont="1" applyFill="1" applyBorder="1" applyAlignment="1">
      <alignment wrapText="1"/>
    </xf>
    <xf numFmtId="0" fontId="0" fillId="15" borderId="1" xfId="0" applyFill="1" applyBorder="1"/>
    <xf numFmtId="0" fontId="12" fillId="0" borderId="1" xfId="0" applyFont="1" applyBorder="1" applyAlignment="1">
      <alignment vertical="center" wrapText="1"/>
    </xf>
    <xf numFmtId="0" fontId="11" fillId="18" borderId="1" xfId="0" applyFont="1" applyFill="1" applyBorder="1" applyAlignment="1">
      <alignment vertical="center" wrapText="1"/>
    </xf>
    <xf numFmtId="0" fontId="0" fillId="7" borderId="1" xfId="0" applyFont="1" applyFill="1" applyBorder="1" applyAlignment="1">
      <alignment wrapText="1"/>
    </xf>
    <xf numFmtId="165" fontId="0" fillId="7" borderId="1" xfId="1" applyNumberFormat="1" applyFont="1" applyFill="1" applyBorder="1" applyAlignment="1">
      <alignment wrapText="1"/>
    </xf>
    <xf numFmtId="165" fontId="0" fillId="7" borderId="1" xfId="1" applyNumberFormat="1" applyFont="1" applyFill="1" applyBorder="1"/>
    <xf numFmtId="0" fontId="11" fillId="7" borderId="1" xfId="0" applyFont="1" applyFill="1" applyBorder="1" applyAlignment="1">
      <alignment vertical="center" wrapText="1"/>
    </xf>
    <xf numFmtId="0" fontId="0" fillId="18" borderId="1" xfId="0" applyFill="1" applyBorder="1"/>
    <xf numFmtId="0" fontId="0" fillId="19" borderId="1" xfId="0" applyFill="1" applyBorder="1"/>
    <xf numFmtId="0" fontId="0" fillId="20" borderId="1" xfId="0" applyFill="1" applyBorder="1"/>
    <xf numFmtId="0" fontId="11" fillId="19" borderId="1" xfId="0" applyFont="1" applyFill="1" applyBorder="1" applyAlignment="1">
      <alignment vertical="center" wrapText="1"/>
    </xf>
    <xf numFmtId="0" fontId="0" fillId="21" borderId="7" xfId="0" applyFont="1" applyFill="1" applyBorder="1" applyAlignment="1">
      <alignment wrapText="1"/>
    </xf>
    <xf numFmtId="0" fontId="0" fillId="21" borderId="7" xfId="0" applyFill="1" applyBorder="1"/>
    <xf numFmtId="0" fontId="0" fillId="21" borderId="8" xfId="0" applyFill="1" applyBorder="1"/>
    <xf numFmtId="0" fontId="3" fillId="14" borderId="5" xfId="0" applyFont="1" applyFill="1" applyBorder="1" applyAlignment="1">
      <alignment wrapText="1"/>
    </xf>
    <xf numFmtId="0" fontId="0" fillId="14" borderId="7" xfId="0" applyFont="1" applyFill="1" applyBorder="1" applyAlignment="1">
      <alignment wrapText="1"/>
    </xf>
    <xf numFmtId="0" fontId="0" fillId="14" borderId="7" xfId="0" applyFill="1" applyBorder="1"/>
    <xf numFmtId="0" fontId="0" fillId="14" borderId="8" xfId="0" applyFill="1" applyBorder="1"/>
    <xf numFmtId="0" fontId="12" fillId="9" borderId="5" xfId="0" applyFont="1" applyFill="1" applyBorder="1" applyAlignment="1">
      <alignment vertical="center" wrapText="1"/>
    </xf>
    <xf numFmtId="0" fontId="11" fillId="9" borderId="7" xfId="0" applyFont="1" applyFill="1" applyBorder="1" applyAlignment="1">
      <alignment vertical="center" wrapText="1"/>
    </xf>
    <xf numFmtId="0" fontId="11" fillId="9" borderId="8" xfId="0" applyFont="1" applyFill="1" applyBorder="1" applyAlignment="1">
      <alignment vertical="center" wrapText="1"/>
    </xf>
    <xf numFmtId="0" fontId="3" fillId="15" borderId="1" xfId="0" applyFont="1" applyFill="1" applyBorder="1" applyAlignment="1">
      <alignment wrapText="1"/>
    </xf>
    <xf numFmtId="0" fontId="3" fillId="21" borderId="5" xfId="0" applyFont="1" applyFill="1" applyBorder="1" applyAlignment="1">
      <alignment wrapText="1"/>
    </xf>
    <xf numFmtId="0" fontId="1" fillId="7" borderId="1" xfId="0" applyFont="1" applyFill="1" applyBorder="1" applyAlignment="1">
      <alignment wrapText="1"/>
    </xf>
    <xf numFmtId="0" fontId="13" fillId="0" borderId="0" xfId="0" applyFont="1"/>
    <xf numFmtId="0" fontId="4" fillId="0" borderId="0" xfId="0" applyFont="1"/>
    <xf numFmtId="0" fontId="1" fillId="22" borderId="1" xfId="0" applyFont="1" applyFill="1" applyBorder="1"/>
    <xf numFmtId="0" fontId="1" fillId="22" borderId="1" xfId="0" applyFont="1" applyFill="1" applyBorder="1" applyAlignment="1">
      <alignment wrapText="1"/>
    </xf>
    <xf numFmtId="165" fontId="1" fillId="22" borderId="1" xfId="1" quotePrefix="1" applyNumberFormat="1" applyFont="1" applyFill="1" applyBorder="1" applyAlignment="1">
      <alignment horizontal="center" wrapText="1"/>
    </xf>
    <xf numFmtId="165" fontId="1" fillId="22" borderId="1" xfId="1" quotePrefix="1" applyNumberFormat="1" applyFont="1" applyFill="1" applyBorder="1" applyAlignment="1">
      <alignment wrapText="1"/>
    </xf>
    <xf numFmtId="165" fontId="1" fillId="22" borderId="5" xfId="1" quotePrefix="1" applyNumberFormat="1" applyFont="1" applyFill="1" applyBorder="1" applyAlignment="1">
      <alignment wrapText="1"/>
    </xf>
    <xf numFmtId="165" fontId="0" fillId="0" borderId="5" xfId="1" applyNumberFormat="1" applyFont="1" applyBorder="1" applyAlignment="1">
      <alignment wrapText="1"/>
    </xf>
    <xf numFmtId="165" fontId="0" fillId="0" borderId="9" xfId="1" applyNumberFormat="1" applyFont="1" applyBorder="1"/>
    <xf numFmtId="165" fontId="0" fillId="0" borderId="1" xfId="0" applyNumberFormat="1" applyBorder="1"/>
    <xf numFmtId="0" fontId="14" fillId="0" borderId="0" xfId="0" applyFont="1"/>
    <xf numFmtId="14" fontId="14" fillId="0" borderId="0" xfId="0" applyNumberFormat="1" applyFont="1"/>
    <xf numFmtId="165" fontId="14" fillId="0" borderId="0" xfId="1" applyNumberFormat="1" applyFont="1"/>
    <xf numFmtId="165" fontId="15" fillId="9" borderId="10" xfId="1" applyNumberFormat="1" applyFont="1" applyFill="1" applyBorder="1" applyAlignment="1">
      <alignment wrapText="1"/>
    </xf>
    <xf numFmtId="165" fontId="14" fillId="0" borderId="0" xfId="0" applyNumberFormat="1" applyFont="1"/>
    <xf numFmtId="164" fontId="14" fillId="0" borderId="0" xfId="1" applyNumberFormat="1" applyFont="1"/>
    <xf numFmtId="0" fontId="3" fillId="11" borderId="1" xfId="0" applyFont="1" applyFill="1" applyBorder="1" applyAlignment="1">
      <alignment wrapText="1"/>
    </xf>
    <xf numFmtId="165" fontId="3" fillId="11" borderId="1" xfId="1" applyNumberFormat="1" applyFont="1" applyFill="1" applyBorder="1" applyAlignment="1">
      <alignment wrapText="1"/>
    </xf>
    <xf numFmtId="43" fontId="3" fillId="11" borderId="1" xfId="1" applyFont="1" applyFill="1" applyBorder="1" applyAlignment="1">
      <alignment wrapText="1"/>
    </xf>
    <xf numFmtId="165" fontId="4" fillId="11" borderId="1" xfId="1" applyNumberFormat="1" applyFont="1" applyFill="1" applyBorder="1" applyAlignment="1">
      <alignment horizontal="center" wrapText="1"/>
    </xf>
    <xf numFmtId="165" fontId="4" fillId="11" borderId="1" xfId="1" applyNumberFormat="1" applyFont="1" applyFill="1" applyBorder="1"/>
    <xf numFmtId="43" fontId="3" fillId="5" borderId="1" xfId="1" applyFont="1" applyFill="1" applyBorder="1" applyAlignment="1">
      <alignment wrapText="1"/>
    </xf>
    <xf numFmtId="165" fontId="4" fillId="5" borderId="1" xfId="1" applyNumberFormat="1" applyFont="1" applyFill="1" applyBorder="1" applyAlignment="1">
      <alignment horizontal="center" wrapText="1"/>
    </xf>
    <xf numFmtId="165" fontId="4" fillId="5" borderId="1" xfId="1" applyNumberFormat="1" applyFont="1" applyFill="1" applyBorder="1"/>
    <xf numFmtId="165" fontId="3" fillId="5" borderId="1" xfId="1" applyNumberFormat="1" applyFont="1" applyFill="1" applyBorder="1"/>
    <xf numFmtId="0" fontId="4" fillId="0" borderId="1" xfId="0" quotePrefix="1" applyFont="1" applyBorder="1" applyAlignment="1">
      <alignment wrapText="1"/>
    </xf>
    <xf numFmtId="165" fontId="4" fillId="0" borderId="0" xfId="1" quotePrefix="1" applyNumberFormat="1" applyFont="1" applyAlignment="1">
      <alignment wrapText="1"/>
    </xf>
    <xf numFmtId="43" fontId="4" fillId="0" borderId="1" xfId="1" applyFont="1" applyBorder="1"/>
    <xf numFmtId="165" fontId="4" fillId="0" borderId="1" xfId="1" applyNumberFormat="1" applyFont="1" applyBorder="1"/>
    <xf numFmtId="0" fontId="4" fillId="0" borderId="1" xfId="0" applyFont="1" applyBorder="1"/>
    <xf numFmtId="0" fontId="3" fillId="0" borderId="1" xfId="0" applyFont="1" applyBorder="1"/>
    <xf numFmtId="165" fontId="3" fillId="0" borderId="1" xfId="1" applyNumberFormat="1" applyFont="1" applyBorder="1"/>
    <xf numFmtId="43" fontId="3" fillId="0" borderId="1" xfId="1" applyFont="1" applyBorder="1"/>
    <xf numFmtId="0" fontId="3" fillId="9" borderId="1" xfId="0" applyFont="1" applyFill="1" applyBorder="1"/>
    <xf numFmtId="165" fontId="3" fillId="9" borderId="1" xfId="1" applyNumberFormat="1" applyFont="1" applyFill="1" applyBorder="1" applyAlignment="1">
      <alignment wrapText="1"/>
    </xf>
    <xf numFmtId="0" fontId="3" fillId="9" borderId="1" xfId="0" applyFont="1" applyFill="1" applyBorder="1" applyAlignment="1">
      <alignment wrapText="1"/>
    </xf>
    <xf numFmtId="165" fontId="3" fillId="9" borderId="1" xfId="1" quotePrefix="1" applyNumberFormat="1" applyFont="1" applyFill="1" applyBorder="1" applyAlignment="1">
      <alignment horizontal="center" wrapText="1"/>
    </xf>
    <xf numFmtId="165" fontId="3" fillId="23" borderId="1" xfId="1" quotePrefix="1" applyNumberFormat="1" applyFont="1" applyFill="1" applyBorder="1" applyAlignment="1">
      <alignment wrapText="1"/>
    </xf>
    <xf numFmtId="165" fontId="3" fillId="9" borderId="1" xfId="1" quotePrefix="1" applyNumberFormat="1" applyFont="1" applyFill="1" applyBorder="1" applyAlignment="1">
      <alignment wrapText="1"/>
    </xf>
    <xf numFmtId="165" fontId="3" fillId="23" borderId="1" xfId="1" applyNumberFormat="1" applyFont="1" applyFill="1" applyBorder="1" applyAlignment="1">
      <alignment wrapText="1"/>
    </xf>
    <xf numFmtId="165" fontId="3" fillId="9" borderId="5" xfId="1" applyNumberFormat="1" applyFont="1" applyFill="1" applyBorder="1" applyAlignment="1">
      <alignment wrapText="1"/>
    </xf>
    <xf numFmtId="0" fontId="3" fillId="10" borderId="1" xfId="0" applyFont="1" applyFill="1" applyBorder="1"/>
    <xf numFmtId="165" fontId="3" fillId="10" borderId="1" xfId="1" applyNumberFormat="1" applyFont="1" applyFill="1" applyBorder="1"/>
    <xf numFmtId="165" fontId="4" fillId="10" borderId="1" xfId="1" applyNumberFormat="1" applyFont="1" applyFill="1" applyBorder="1" applyAlignment="1">
      <alignment wrapText="1"/>
    </xf>
    <xf numFmtId="165" fontId="4" fillId="10" borderId="5" xfId="1" applyNumberFormat="1" applyFont="1" applyFill="1" applyBorder="1" applyAlignment="1">
      <alignment wrapText="1"/>
    </xf>
    <xf numFmtId="165" fontId="4" fillId="10" borderId="1" xfId="1" applyNumberFormat="1" applyFont="1" applyFill="1" applyBorder="1"/>
    <xf numFmtId="165" fontId="3" fillId="5" borderId="5" xfId="1" applyNumberFormat="1" applyFont="1" applyFill="1" applyBorder="1" applyAlignment="1">
      <alignment wrapText="1"/>
    </xf>
    <xf numFmtId="0" fontId="3" fillId="5" borderId="3" xfId="0" applyFont="1" applyFill="1" applyBorder="1" applyAlignment="1">
      <alignment wrapText="1"/>
    </xf>
    <xf numFmtId="165" fontId="3" fillId="5" borderId="3" xfId="1" applyNumberFormat="1" applyFont="1" applyFill="1" applyBorder="1" applyAlignment="1">
      <alignment wrapText="1"/>
    </xf>
    <xf numFmtId="43" fontId="3" fillId="5" borderId="3" xfId="1" applyFont="1" applyFill="1" applyBorder="1" applyAlignment="1">
      <alignment wrapText="1"/>
    </xf>
    <xf numFmtId="165" fontId="3" fillId="5" borderId="6" xfId="1" applyNumberFormat="1" applyFont="1" applyFill="1" applyBorder="1" applyAlignment="1">
      <alignment wrapText="1"/>
    </xf>
    <xf numFmtId="165" fontId="4" fillId="5" borderId="3" xfId="1" applyNumberFormat="1" applyFont="1" applyFill="1" applyBorder="1"/>
    <xf numFmtId="0" fontId="3" fillId="13" borderId="3" xfId="0" applyFont="1" applyFill="1" applyBorder="1" applyAlignment="1">
      <alignment wrapText="1"/>
    </xf>
    <xf numFmtId="165" fontId="3" fillId="13" borderId="3" xfId="1" applyNumberFormat="1" applyFont="1" applyFill="1" applyBorder="1" applyAlignment="1">
      <alignment wrapText="1"/>
    </xf>
    <xf numFmtId="43" fontId="3" fillId="13" borderId="1" xfId="1" applyFont="1" applyFill="1" applyBorder="1" applyAlignment="1">
      <alignment wrapText="1"/>
    </xf>
    <xf numFmtId="165" fontId="3" fillId="13" borderId="6" xfId="1" applyNumberFormat="1" applyFont="1" applyFill="1" applyBorder="1" applyAlignment="1">
      <alignment wrapText="1"/>
    </xf>
    <xf numFmtId="165" fontId="4" fillId="13" borderId="3" xfId="1" applyNumberFormat="1" applyFont="1" applyFill="1" applyBorder="1"/>
    <xf numFmtId="0" fontId="4" fillId="0" borderId="1" xfId="0" applyFont="1" applyBorder="1" applyAlignment="1">
      <alignment wrapText="1"/>
    </xf>
    <xf numFmtId="165" fontId="4" fillId="0" borderId="1" xfId="1" applyNumberFormat="1" applyFont="1" applyBorder="1" applyAlignment="1">
      <alignment wrapText="1"/>
    </xf>
    <xf numFmtId="43" fontId="4" fillId="0" borderId="4" xfId="1" applyFont="1" applyBorder="1" applyAlignment="1">
      <alignment wrapText="1"/>
    </xf>
    <xf numFmtId="165" fontId="4" fillId="0" borderId="5" xfId="1" applyNumberFormat="1" applyFont="1" applyBorder="1"/>
    <xf numFmtId="43" fontId="3" fillId="13" borderId="3" xfId="1" applyFont="1" applyFill="1" applyBorder="1" applyAlignment="1">
      <alignment wrapText="1"/>
    </xf>
    <xf numFmtId="43" fontId="4" fillId="0" borderId="1" xfId="1" applyFont="1" applyBorder="1" applyAlignment="1">
      <alignment wrapText="1"/>
    </xf>
    <xf numFmtId="0" fontId="4" fillId="0" borderId="3" xfId="0" applyFont="1" applyBorder="1" applyAlignment="1">
      <alignment horizontal="left"/>
    </xf>
    <xf numFmtId="165" fontId="4" fillId="0" borderId="3" xfId="1" applyNumberFormat="1" applyFont="1" applyBorder="1" applyAlignment="1">
      <alignment horizontal="left"/>
    </xf>
    <xf numFmtId="165" fontId="4" fillId="0" borderId="0" xfId="1" applyNumberFormat="1" applyFont="1"/>
    <xf numFmtId="0" fontId="4" fillId="0" borderId="1" xfId="0" applyFont="1" applyBorder="1" applyAlignment="1">
      <alignment horizontal="left" wrapText="1"/>
    </xf>
    <xf numFmtId="165" fontId="4" fillId="0" borderId="1" xfId="1" applyNumberFormat="1" applyFont="1" applyBorder="1" applyAlignment="1">
      <alignment horizontal="left" wrapText="1"/>
    </xf>
    <xf numFmtId="0" fontId="3" fillId="0" borderId="1" xfId="0" applyFont="1" applyBorder="1" applyAlignment="1">
      <alignment wrapText="1"/>
    </xf>
    <xf numFmtId="165" fontId="3" fillId="0" borderId="1" xfId="1" applyNumberFormat="1" applyFont="1" applyBorder="1" applyAlignment="1">
      <alignment wrapText="1"/>
    </xf>
    <xf numFmtId="165" fontId="3" fillId="0" borderId="5" xfId="1" applyNumberFormat="1" applyFont="1" applyBorder="1"/>
    <xf numFmtId="165" fontId="3" fillId="5" borderId="5" xfId="1" applyNumberFormat="1" applyFont="1" applyFill="1" applyBorder="1"/>
    <xf numFmtId="0" fontId="3" fillId="13" borderId="1" xfId="0" applyFont="1" applyFill="1" applyBorder="1"/>
    <xf numFmtId="165" fontId="3" fillId="13" borderId="1" xfId="1" applyNumberFormat="1" applyFont="1" applyFill="1" applyBorder="1"/>
    <xf numFmtId="165" fontId="4" fillId="13" borderId="1" xfId="1" applyNumberFormat="1" applyFont="1" applyFill="1" applyBorder="1"/>
    <xf numFmtId="165" fontId="4" fillId="0" borderId="0" xfId="0" applyNumberFormat="1" applyFont="1"/>
    <xf numFmtId="165" fontId="4" fillId="8" borderId="1" xfId="1" applyNumberFormat="1" applyFont="1" applyFill="1" applyBorder="1"/>
    <xf numFmtId="165" fontId="4" fillId="8" borderId="5" xfId="1" applyNumberFormat="1" applyFont="1" applyFill="1" applyBorder="1"/>
    <xf numFmtId="165" fontId="4" fillId="5" borderId="5" xfId="1" applyNumberFormat="1" applyFont="1" applyFill="1" applyBorder="1"/>
    <xf numFmtId="0" fontId="4" fillId="5" borderId="0" xfId="0" applyFont="1" applyFill="1"/>
    <xf numFmtId="0" fontId="3" fillId="0" borderId="1" xfId="0" applyFont="1" applyFill="1" applyBorder="1" applyAlignment="1">
      <alignment wrapText="1"/>
    </xf>
    <xf numFmtId="165" fontId="3" fillId="0" borderId="1" xfId="1" applyNumberFormat="1" applyFont="1" applyFill="1" applyBorder="1" applyAlignment="1">
      <alignment wrapText="1"/>
    </xf>
    <xf numFmtId="0" fontId="3" fillId="4" borderId="1" xfId="0" applyFont="1" applyFill="1" applyBorder="1" applyAlignment="1">
      <alignment wrapText="1"/>
    </xf>
    <xf numFmtId="165" fontId="3" fillId="4" borderId="1" xfId="1" applyNumberFormat="1" applyFont="1" applyFill="1" applyBorder="1" applyAlignment="1">
      <alignment wrapText="1"/>
    </xf>
    <xf numFmtId="165" fontId="3" fillId="4" borderId="1" xfId="1" applyNumberFormat="1" applyFont="1" applyFill="1" applyBorder="1"/>
    <xf numFmtId="165" fontId="3" fillId="4" borderId="5" xfId="1" applyNumberFormat="1" applyFont="1" applyFill="1" applyBorder="1"/>
    <xf numFmtId="165" fontId="3" fillId="12" borderId="1" xfId="1" applyNumberFormat="1" applyFont="1" applyFill="1" applyBorder="1"/>
    <xf numFmtId="165" fontId="4" fillId="12" borderId="1" xfId="1" applyNumberFormat="1" applyFont="1" applyFill="1" applyBorder="1"/>
    <xf numFmtId="165" fontId="4" fillId="12" borderId="5" xfId="1" applyNumberFormat="1" applyFont="1" applyFill="1" applyBorder="1"/>
    <xf numFmtId="0" fontId="16" fillId="9" borderId="1" xfId="0" applyFont="1" applyFill="1" applyBorder="1" applyAlignment="1">
      <alignment horizontal="center"/>
    </xf>
    <xf numFmtId="165" fontId="16" fillId="9" borderId="1" xfId="1" applyNumberFormat="1" applyFont="1" applyFill="1" applyBorder="1" applyAlignment="1">
      <alignment horizontal="center" wrapText="1"/>
    </xf>
    <xf numFmtId="165" fontId="0" fillId="0" borderId="0" xfId="0" applyNumberFormat="1"/>
    <xf numFmtId="165" fontId="0" fillId="0" borderId="0" xfId="1" applyNumberFormat="1" applyFont="1"/>
    <xf numFmtId="165" fontId="0" fillId="14" borderId="1" xfId="1" applyNumberFormat="1" applyFont="1" applyFill="1" applyBorder="1"/>
    <xf numFmtId="165" fontId="0" fillId="14" borderId="1" xfId="0" applyNumberFormat="1" applyFill="1" applyBorder="1"/>
    <xf numFmtId="0" fontId="1" fillId="0" borderId="1" xfId="0" applyFont="1" applyFill="1" applyBorder="1"/>
    <xf numFmtId="0" fontId="4" fillId="0" borderId="1" xfId="0" applyFont="1" applyBorder="1" applyAlignment="1">
      <alignment horizontal="left" indent="2"/>
    </xf>
    <xf numFmtId="0" fontId="2" fillId="0" borderId="0" xfId="0" applyFont="1"/>
    <xf numFmtId="43" fontId="14" fillId="0" borderId="0" xfId="1" applyNumberFormat="1" applyFont="1"/>
    <xf numFmtId="0" fontId="14" fillId="0" borderId="1" xfId="0" applyFont="1" applyBorder="1"/>
    <xf numFmtId="0" fontId="14" fillId="0" borderId="1" xfId="0" applyFont="1" applyBorder="1" applyAlignment="1">
      <alignment wrapText="1"/>
    </xf>
    <xf numFmtId="165" fontId="14" fillId="0" borderId="1" xfId="1" applyNumberFormat="1" applyFont="1" applyBorder="1"/>
    <xf numFmtId="0" fontId="4" fillId="0" borderId="3" xfId="0" applyFont="1" applyBorder="1" applyAlignment="1">
      <alignment wrapText="1"/>
    </xf>
    <xf numFmtId="165" fontId="4" fillId="0" borderId="3" xfId="1" applyNumberFormat="1" applyFont="1" applyBorder="1" applyAlignment="1">
      <alignment wrapText="1"/>
    </xf>
    <xf numFmtId="43" fontId="4" fillId="0" borderId="10" xfId="1" applyFont="1" applyBorder="1" applyAlignment="1">
      <alignment wrapText="1"/>
    </xf>
    <xf numFmtId="165" fontId="4" fillId="0" borderId="3" xfId="1" applyNumberFormat="1" applyFont="1" applyBorder="1"/>
    <xf numFmtId="165" fontId="4" fillId="0" borderId="6" xfId="1" applyNumberFormat="1" applyFont="1" applyBorder="1"/>
    <xf numFmtId="165" fontId="4" fillId="15" borderId="1" xfId="1" applyNumberFormat="1" applyFont="1" applyFill="1" applyBorder="1"/>
    <xf numFmtId="0" fontId="1" fillId="0" borderId="1" xfId="0" applyFont="1" applyBorder="1" applyAlignment="1">
      <alignment horizontal="center"/>
    </xf>
    <xf numFmtId="0" fontId="1" fillId="0" borderId="1"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colors>
    <mruColors>
      <color rgb="FFC7ACD6"/>
      <color rgb="FFE1F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0</xdr:colOff>
      <xdr:row>84</xdr:row>
      <xdr:rowOff>0</xdr:rowOff>
    </xdr:from>
    <xdr:to>
      <xdr:col>1</xdr:col>
      <xdr:colOff>1104900</xdr:colOff>
      <xdr:row>89</xdr:row>
      <xdr:rowOff>57150</xdr:rowOff>
    </xdr:to>
    <xdr:pic>
      <xdr:nvPicPr>
        <xdr:cNvPr id="2" name="Picture 1">
          <a:extLst>
            <a:ext uri="{FF2B5EF4-FFF2-40B4-BE49-F238E27FC236}">
              <a16:creationId xmlns:a16="http://schemas.microsoft.com/office/drawing/2014/main" id="{73E555CC-C10C-4789-993E-569D7B5115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1993225"/>
          <a:ext cx="569595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8"/>
  <sheetViews>
    <sheetView workbookViewId="0">
      <selection activeCell="A5" sqref="A5:A32"/>
    </sheetView>
  </sheetViews>
  <sheetFormatPr defaultRowHeight="14.5" x14ac:dyDescent="0.35"/>
  <cols>
    <col min="1" max="1" width="31" style="10" customWidth="1"/>
    <col min="2" max="2" width="29.26953125" customWidth="1"/>
  </cols>
  <sheetData>
    <row r="1" spans="1:26" ht="29" x14ac:dyDescent="0.35">
      <c r="A1" s="9" t="s">
        <v>0</v>
      </c>
    </row>
    <row r="2" spans="1:26" x14ac:dyDescent="0.35">
      <c r="C2" s="210" t="s">
        <v>15</v>
      </c>
      <c r="D2" s="210"/>
      <c r="E2" s="210"/>
      <c r="F2" s="210"/>
      <c r="G2" s="210"/>
      <c r="H2" s="210"/>
      <c r="I2" s="210"/>
      <c r="J2" s="210"/>
      <c r="K2" s="210"/>
      <c r="L2" s="210"/>
      <c r="M2" s="210"/>
      <c r="N2" s="210"/>
      <c r="O2" s="210" t="s">
        <v>16</v>
      </c>
      <c r="P2" s="210"/>
      <c r="Q2" s="210"/>
      <c r="R2" s="210"/>
      <c r="S2" s="210"/>
      <c r="T2" s="210"/>
      <c r="U2" s="210"/>
      <c r="V2" s="210"/>
      <c r="W2" s="210"/>
      <c r="X2" s="210"/>
      <c r="Y2" s="210"/>
      <c r="Z2" s="210"/>
    </row>
    <row r="3" spans="1:26" x14ac:dyDescent="0.35">
      <c r="A3" s="11"/>
      <c r="B3" s="3"/>
      <c r="C3" s="1" t="s">
        <v>2</v>
      </c>
      <c r="D3" s="1" t="s">
        <v>3</v>
      </c>
      <c r="E3" s="1" t="s">
        <v>4</v>
      </c>
      <c r="F3" s="1" t="s">
        <v>5</v>
      </c>
      <c r="G3" s="1" t="s">
        <v>6</v>
      </c>
      <c r="H3" s="1" t="s">
        <v>7</v>
      </c>
      <c r="I3" s="1" t="s">
        <v>8</v>
      </c>
      <c r="J3" s="1" t="s">
        <v>9</v>
      </c>
      <c r="K3" s="1" t="s">
        <v>10</v>
      </c>
      <c r="L3" s="1" t="s">
        <v>11</v>
      </c>
      <c r="M3" s="1" t="s">
        <v>12</v>
      </c>
      <c r="N3" s="1" t="s">
        <v>13</v>
      </c>
      <c r="O3" s="1" t="s">
        <v>14</v>
      </c>
      <c r="P3" s="1" t="s">
        <v>3</v>
      </c>
      <c r="Q3" s="1" t="s">
        <v>4</v>
      </c>
      <c r="R3" s="1" t="s">
        <v>5</v>
      </c>
      <c r="S3" s="1" t="s">
        <v>6</v>
      </c>
      <c r="T3" s="1" t="s">
        <v>7</v>
      </c>
      <c r="U3" s="1" t="s">
        <v>8</v>
      </c>
      <c r="V3" s="1" t="s">
        <v>9</v>
      </c>
      <c r="W3" s="1" t="s">
        <v>10</v>
      </c>
      <c r="X3" s="1" t="s">
        <v>11</v>
      </c>
      <c r="Y3" s="1" t="s">
        <v>12</v>
      </c>
      <c r="Z3" s="1" t="s">
        <v>13</v>
      </c>
    </row>
    <row r="4" spans="1:26" x14ac:dyDescent="0.35">
      <c r="A4" s="4" t="s">
        <v>17</v>
      </c>
      <c r="B4" s="2" t="s">
        <v>1</v>
      </c>
      <c r="C4" s="1"/>
      <c r="D4" s="1"/>
      <c r="E4" s="1"/>
      <c r="F4" s="1"/>
      <c r="G4" s="1"/>
      <c r="H4" s="1"/>
      <c r="I4" s="1"/>
      <c r="J4" s="1"/>
      <c r="K4" s="1"/>
      <c r="L4" s="1"/>
      <c r="M4" s="1"/>
      <c r="N4" s="1"/>
      <c r="O4" s="1"/>
      <c r="P4" s="1"/>
      <c r="Q4" s="1"/>
      <c r="R4" s="1"/>
      <c r="S4" s="1"/>
      <c r="T4" s="1"/>
      <c r="U4" s="1"/>
      <c r="V4" s="1"/>
      <c r="W4" s="1"/>
      <c r="X4" s="1"/>
      <c r="Y4" s="1"/>
      <c r="Z4" s="1"/>
    </row>
    <row r="5" spans="1:26" x14ac:dyDescent="0.35">
      <c r="A5" s="4" t="s">
        <v>18</v>
      </c>
      <c r="B5" s="1" t="s">
        <v>19</v>
      </c>
      <c r="C5" s="7"/>
      <c r="D5" s="1"/>
      <c r="E5" s="1"/>
      <c r="F5" s="1"/>
      <c r="G5" s="1"/>
      <c r="H5" s="1"/>
      <c r="I5" s="1"/>
      <c r="J5" s="1"/>
      <c r="K5" s="1"/>
      <c r="L5" s="1"/>
      <c r="M5" s="1"/>
      <c r="N5" s="1"/>
      <c r="O5" s="1"/>
      <c r="P5" s="1"/>
      <c r="Q5" s="1"/>
      <c r="R5" s="1"/>
      <c r="S5" s="1"/>
      <c r="T5" s="1"/>
      <c r="U5" s="1"/>
      <c r="V5" s="1"/>
      <c r="W5" s="1"/>
      <c r="X5" s="1"/>
      <c r="Y5" s="1"/>
      <c r="Z5" s="1"/>
    </row>
    <row r="6" spans="1:26" x14ac:dyDescent="0.35">
      <c r="A6" s="4"/>
      <c r="B6" s="1" t="s">
        <v>20</v>
      </c>
      <c r="C6" s="1"/>
      <c r="D6" s="1"/>
      <c r="E6" s="1"/>
      <c r="F6" s="1"/>
      <c r="G6" s="1"/>
      <c r="H6" s="1"/>
      <c r="I6" s="1"/>
      <c r="J6" s="1"/>
      <c r="K6" s="1"/>
      <c r="L6" s="1"/>
      <c r="M6" s="1"/>
      <c r="N6" s="1"/>
      <c r="O6" s="1"/>
      <c r="P6" s="1"/>
      <c r="Q6" s="1"/>
      <c r="R6" s="1"/>
      <c r="S6" s="1"/>
      <c r="T6" s="1"/>
      <c r="U6" s="1"/>
      <c r="V6" s="1"/>
      <c r="W6" s="1"/>
      <c r="X6" s="1"/>
      <c r="Y6" s="7"/>
      <c r="Z6" s="1"/>
    </row>
    <row r="7" spans="1:26" x14ac:dyDescent="0.35">
      <c r="A7" s="4"/>
      <c r="B7" s="1" t="s">
        <v>21</v>
      </c>
      <c r="C7" s="1"/>
      <c r="D7" s="1"/>
      <c r="E7" s="1"/>
      <c r="F7" s="1"/>
      <c r="G7" s="1"/>
      <c r="H7" s="1"/>
      <c r="I7" s="1"/>
      <c r="J7" s="1"/>
      <c r="K7" s="1"/>
      <c r="L7" s="1"/>
      <c r="M7" s="1"/>
      <c r="N7" s="1"/>
      <c r="O7" s="1"/>
      <c r="P7" s="1"/>
      <c r="Q7" s="1"/>
      <c r="R7" s="1"/>
      <c r="S7" s="1"/>
      <c r="T7" s="1"/>
      <c r="U7" s="1"/>
      <c r="V7" s="1"/>
      <c r="W7" s="1"/>
      <c r="X7" s="1"/>
      <c r="Y7" s="1"/>
      <c r="Z7" s="1"/>
    </row>
    <row r="8" spans="1:26" x14ac:dyDescent="0.35">
      <c r="A8" s="4"/>
      <c r="B8" s="1" t="s">
        <v>23</v>
      </c>
      <c r="C8" s="1"/>
      <c r="D8" s="1"/>
      <c r="E8" s="1"/>
      <c r="F8" s="1"/>
      <c r="G8" s="1"/>
      <c r="H8" s="1"/>
      <c r="I8" s="1"/>
      <c r="J8" s="1"/>
      <c r="K8" s="1"/>
      <c r="L8" s="1"/>
      <c r="M8" s="1"/>
      <c r="N8" s="1"/>
      <c r="O8" s="1"/>
      <c r="P8" s="1"/>
      <c r="Q8" s="1"/>
      <c r="R8" s="1"/>
      <c r="S8" s="1"/>
      <c r="T8" s="1"/>
      <c r="U8" s="1"/>
      <c r="V8" s="1"/>
      <c r="W8" s="1"/>
      <c r="X8" s="1"/>
      <c r="Y8" s="1"/>
      <c r="Z8" s="1"/>
    </row>
    <row r="9" spans="1:26" x14ac:dyDescent="0.35">
      <c r="A9" s="4" t="s">
        <v>22</v>
      </c>
      <c r="B9" s="1" t="s">
        <v>19</v>
      </c>
      <c r="C9" s="6"/>
      <c r="D9" s="1"/>
      <c r="E9" s="1"/>
      <c r="F9" s="1"/>
      <c r="G9" s="1"/>
      <c r="H9" s="1"/>
      <c r="I9" s="1"/>
      <c r="J9" s="1"/>
      <c r="K9" s="1"/>
      <c r="L9" s="1"/>
      <c r="M9" s="1"/>
      <c r="N9" s="1"/>
      <c r="O9" s="1"/>
      <c r="P9" s="1"/>
      <c r="Q9" s="1"/>
      <c r="R9" s="1"/>
      <c r="S9" s="1"/>
      <c r="T9" s="1"/>
      <c r="U9" s="1"/>
      <c r="V9" s="1"/>
      <c r="W9" s="1"/>
      <c r="X9" s="1"/>
      <c r="Y9" s="1"/>
      <c r="Z9" s="1"/>
    </row>
    <row r="10" spans="1:26" x14ac:dyDescent="0.35">
      <c r="A10" s="4"/>
      <c r="B10" s="1" t="s">
        <v>20</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35">
      <c r="A11" s="4"/>
      <c r="B11" s="1" t="s">
        <v>21</v>
      </c>
      <c r="C11" s="1"/>
      <c r="D11" s="1"/>
      <c r="E11" s="1"/>
      <c r="F11" s="1"/>
      <c r="G11" s="1"/>
      <c r="H11" s="1"/>
      <c r="I11" s="1"/>
      <c r="J11" s="1"/>
      <c r="K11" s="1"/>
      <c r="L11" s="5"/>
      <c r="M11" s="1"/>
      <c r="N11" s="1"/>
      <c r="O11" s="1"/>
      <c r="P11" s="1"/>
      <c r="Q11" s="1"/>
      <c r="R11" s="1"/>
      <c r="S11" s="1"/>
      <c r="T11" s="8"/>
      <c r="U11" s="1"/>
      <c r="V11" s="1"/>
      <c r="W11" s="1"/>
      <c r="X11" s="1"/>
      <c r="Y11" s="1"/>
      <c r="Z11" s="1"/>
    </row>
    <row r="12" spans="1:26" x14ac:dyDescent="0.35">
      <c r="A12" s="4"/>
      <c r="B12" s="1" t="s">
        <v>23</v>
      </c>
      <c r="C12" s="1"/>
      <c r="D12" s="1"/>
      <c r="E12" s="1"/>
      <c r="F12" s="1"/>
      <c r="G12" s="1"/>
      <c r="H12" s="1"/>
      <c r="I12" s="1"/>
      <c r="J12" s="1"/>
      <c r="K12" s="1"/>
      <c r="L12" s="1"/>
      <c r="M12" s="1"/>
      <c r="N12" s="1"/>
      <c r="O12" s="1"/>
      <c r="P12" s="1"/>
      <c r="Q12" s="1"/>
      <c r="R12" s="1"/>
      <c r="S12" s="1"/>
      <c r="T12" s="5"/>
      <c r="U12" s="1"/>
      <c r="V12" s="1"/>
      <c r="W12" s="1"/>
      <c r="X12" s="1"/>
      <c r="Y12" s="1"/>
      <c r="Z12" s="1"/>
    </row>
    <row r="13" spans="1:26" x14ac:dyDescent="0.35">
      <c r="A13" s="4" t="s">
        <v>39</v>
      </c>
      <c r="B13" s="1" t="s">
        <v>30</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35">
      <c r="A14" s="4" t="s">
        <v>38</v>
      </c>
      <c r="B14" s="1"/>
      <c r="C14" s="1"/>
      <c r="D14" s="1"/>
      <c r="E14" s="1"/>
      <c r="F14" s="1"/>
      <c r="G14" s="1"/>
      <c r="H14" s="1"/>
      <c r="I14" s="1"/>
      <c r="J14" s="1"/>
      <c r="K14" s="1"/>
      <c r="L14" s="1"/>
      <c r="M14" s="1"/>
      <c r="N14" s="1"/>
      <c r="O14" s="1"/>
      <c r="P14" s="1"/>
      <c r="Q14" s="1"/>
      <c r="R14" s="1"/>
      <c r="S14" s="1"/>
      <c r="T14" s="1"/>
      <c r="U14" s="1"/>
      <c r="V14" s="1"/>
      <c r="W14" s="1"/>
      <c r="X14" s="1"/>
      <c r="Y14" s="1"/>
      <c r="Z14" s="1"/>
    </row>
    <row r="15" spans="1:26" ht="29" x14ac:dyDescent="0.35">
      <c r="A15" s="4" t="s">
        <v>40</v>
      </c>
      <c r="B15" s="1" t="s">
        <v>33</v>
      </c>
      <c r="C15" s="1"/>
      <c r="D15" s="1"/>
      <c r="E15" s="1"/>
      <c r="F15" s="1"/>
      <c r="G15" s="1"/>
      <c r="H15" s="1"/>
      <c r="I15" s="1"/>
      <c r="J15" s="1"/>
      <c r="K15" s="1"/>
      <c r="L15" s="1"/>
      <c r="M15" s="1"/>
      <c r="N15" s="1"/>
      <c r="O15" s="1"/>
      <c r="P15" s="1"/>
      <c r="Q15" s="1"/>
      <c r="R15" s="1"/>
      <c r="S15" s="1"/>
      <c r="T15" s="1"/>
      <c r="U15" s="1"/>
      <c r="V15" s="1"/>
      <c r="W15" s="1"/>
      <c r="X15" s="1"/>
      <c r="Y15" s="1"/>
      <c r="Z15" s="1"/>
    </row>
    <row r="16" spans="1:26" x14ac:dyDescent="0.35">
      <c r="A16" s="4" t="s">
        <v>24</v>
      </c>
      <c r="B16" s="1"/>
      <c r="C16" s="1"/>
      <c r="D16" s="1"/>
      <c r="E16" s="1"/>
      <c r="F16" s="1"/>
      <c r="G16" s="1"/>
      <c r="H16" s="1"/>
      <c r="I16" s="1"/>
      <c r="J16" s="1"/>
      <c r="K16" s="1"/>
      <c r="L16" s="1"/>
      <c r="M16" s="1"/>
      <c r="N16" s="1"/>
      <c r="O16" s="1"/>
      <c r="P16" s="1"/>
      <c r="Q16" s="1"/>
      <c r="R16" s="1"/>
      <c r="S16" s="1"/>
      <c r="T16" s="1"/>
      <c r="U16" s="1"/>
      <c r="V16" s="1"/>
      <c r="W16" s="1"/>
      <c r="X16" s="1"/>
      <c r="Y16" s="1"/>
      <c r="Z16" s="1"/>
    </row>
    <row r="17" spans="1:26" ht="29" x14ac:dyDescent="0.35">
      <c r="A17" s="4" t="s">
        <v>25</v>
      </c>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35">
      <c r="A18" s="4" t="s">
        <v>26</v>
      </c>
      <c r="B18" s="1"/>
      <c r="C18" s="1"/>
      <c r="D18" s="1"/>
      <c r="E18" s="1"/>
      <c r="F18" s="1"/>
      <c r="G18" s="1"/>
      <c r="H18" s="1"/>
      <c r="I18" s="1"/>
      <c r="J18" s="1"/>
      <c r="K18" s="1"/>
      <c r="L18" s="1"/>
      <c r="M18" s="1"/>
      <c r="N18" s="1"/>
      <c r="O18" s="1"/>
      <c r="P18" s="1"/>
      <c r="Q18" s="1"/>
      <c r="R18" s="1"/>
      <c r="S18" s="1"/>
      <c r="T18" s="1"/>
      <c r="U18" s="1"/>
      <c r="V18" s="1"/>
      <c r="W18" s="1"/>
      <c r="X18" s="1"/>
      <c r="Y18" s="1"/>
      <c r="Z18" s="1"/>
    </row>
    <row r="19" spans="1:26" ht="29" x14ac:dyDescent="0.35">
      <c r="A19" s="4" t="s">
        <v>27</v>
      </c>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35">
      <c r="A20" s="4" t="s">
        <v>41</v>
      </c>
      <c r="B20" s="1" t="s">
        <v>31</v>
      </c>
      <c r="C20" s="1"/>
      <c r="D20" s="1"/>
      <c r="E20" s="1"/>
      <c r="F20" s="1"/>
      <c r="G20" s="1"/>
      <c r="H20" s="1"/>
      <c r="I20" s="1"/>
      <c r="J20" s="1"/>
      <c r="K20" s="1"/>
      <c r="L20" s="1"/>
      <c r="M20" s="1"/>
      <c r="N20" s="1"/>
      <c r="O20" s="1"/>
      <c r="P20" s="1"/>
      <c r="Q20" s="1"/>
      <c r="R20" s="1"/>
      <c r="S20" s="1"/>
      <c r="T20" s="1"/>
      <c r="U20" s="1"/>
      <c r="V20" s="1"/>
      <c r="W20" s="1"/>
      <c r="X20" s="1"/>
      <c r="Y20" s="1"/>
      <c r="Z20" s="1"/>
    </row>
    <row r="21" spans="1:26" ht="29" x14ac:dyDescent="0.35">
      <c r="A21" s="4" t="s">
        <v>28</v>
      </c>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35">
      <c r="A22" s="4" t="s">
        <v>42</v>
      </c>
      <c r="B22" s="1"/>
      <c r="C22" s="1"/>
      <c r="D22" s="1"/>
      <c r="E22" s="1"/>
      <c r="F22" s="1"/>
      <c r="G22" s="1"/>
      <c r="H22" s="1"/>
      <c r="I22" s="1"/>
      <c r="J22" s="1"/>
      <c r="K22" s="1"/>
      <c r="L22" s="1"/>
      <c r="M22" s="1"/>
      <c r="N22" s="1"/>
      <c r="O22" s="1"/>
      <c r="P22" s="1"/>
      <c r="Q22" s="1"/>
      <c r="R22" s="1"/>
      <c r="S22" s="1"/>
      <c r="T22" s="1"/>
      <c r="U22" s="1"/>
      <c r="V22" s="1"/>
      <c r="W22" s="1"/>
      <c r="X22" s="1"/>
      <c r="Y22" s="1"/>
      <c r="Z22" s="1"/>
    </row>
    <row r="23" spans="1:26" ht="30" customHeight="1" x14ac:dyDescent="0.35">
      <c r="A23" s="211" t="s">
        <v>37</v>
      </c>
      <c r="B23" s="1" t="s">
        <v>32</v>
      </c>
      <c r="C23" s="1"/>
      <c r="D23" s="1"/>
      <c r="E23" s="1"/>
      <c r="F23" s="1"/>
      <c r="G23" s="1"/>
      <c r="H23" s="1"/>
      <c r="I23" s="1"/>
      <c r="J23" s="1"/>
      <c r="K23" s="1"/>
      <c r="L23" s="1"/>
      <c r="M23" s="1"/>
      <c r="N23" s="1"/>
      <c r="O23" s="1"/>
      <c r="P23" s="1"/>
      <c r="Q23" s="1"/>
      <c r="R23" s="1"/>
      <c r="S23" s="1"/>
      <c r="T23" s="1"/>
      <c r="U23" s="1"/>
      <c r="V23" s="1"/>
      <c r="W23" s="1"/>
      <c r="X23" s="1"/>
      <c r="Y23" s="1"/>
      <c r="Z23" s="1"/>
    </row>
    <row r="24" spans="1:26" x14ac:dyDescent="0.35">
      <c r="A24" s="211"/>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35">
      <c r="A25" s="212" t="s">
        <v>36</v>
      </c>
      <c r="B25" s="1" t="s">
        <v>32</v>
      </c>
      <c r="C25" s="1"/>
      <c r="D25" s="1"/>
      <c r="E25" s="1"/>
      <c r="F25" s="1"/>
      <c r="G25" s="1"/>
      <c r="H25" s="1"/>
      <c r="I25" s="1"/>
      <c r="J25" s="1"/>
      <c r="K25" s="1"/>
      <c r="L25" s="1"/>
      <c r="M25" s="1"/>
      <c r="N25" s="1"/>
      <c r="O25" s="1"/>
      <c r="P25" s="1"/>
      <c r="Q25" s="1"/>
      <c r="R25" s="1"/>
      <c r="S25" s="1"/>
      <c r="T25" s="1"/>
      <c r="U25" s="1"/>
      <c r="V25" s="1"/>
      <c r="W25" s="1"/>
      <c r="X25" s="1"/>
      <c r="Y25" s="1"/>
      <c r="Z25" s="1"/>
    </row>
    <row r="26" spans="1:26" x14ac:dyDescent="0.35">
      <c r="A26" s="213"/>
      <c r="B26" s="1" t="s">
        <v>34</v>
      </c>
      <c r="C26" s="1"/>
      <c r="D26" s="1"/>
      <c r="E26" s="1"/>
      <c r="F26" s="1"/>
      <c r="G26" s="1"/>
      <c r="H26" s="1"/>
      <c r="I26" s="1"/>
      <c r="J26" s="1"/>
      <c r="K26" s="1"/>
      <c r="L26" s="1"/>
      <c r="M26" s="1"/>
      <c r="N26" s="1"/>
      <c r="O26" s="1"/>
      <c r="P26" s="1"/>
      <c r="Q26" s="1"/>
      <c r="R26" s="1"/>
      <c r="S26" s="1"/>
      <c r="T26" s="1"/>
      <c r="U26" s="1"/>
      <c r="V26" s="1"/>
      <c r="W26" s="1"/>
      <c r="X26" s="1"/>
      <c r="Y26" s="1"/>
      <c r="Z26" s="1"/>
    </row>
    <row r="27" spans="1:26" ht="29" x14ac:dyDescent="0.35">
      <c r="A27" s="4" t="s">
        <v>35</v>
      </c>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35">
      <c r="A28" s="4" t="s">
        <v>46</v>
      </c>
      <c r="C28" s="1"/>
      <c r="D28" s="1"/>
      <c r="E28" s="1"/>
      <c r="F28" s="1"/>
      <c r="G28" s="1"/>
      <c r="H28" s="1"/>
      <c r="I28" s="1"/>
      <c r="J28" s="1"/>
      <c r="K28" s="1"/>
      <c r="L28" s="1"/>
      <c r="M28" s="1"/>
      <c r="N28" s="1"/>
      <c r="O28" s="1"/>
      <c r="P28" s="1"/>
      <c r="Q28" s="1"/>
      <c r="R28" s="1"/>
      <c r="S28" s="1"/>
      <c r="T28" s="1"/>
      <c r="U28" s="1"/>
      <c r="V28" s="1"/>
      <c r="W28" s="1"/>
      <c r="X28" s="1"/>
      <c r="Y28" s="1"/>
      <c r="Z28" s="1"/>
    </row>
    <row r="29" spans="1:26" x14ac:dyDescent="0.35">
      <c r="B29" s="1"/>
      <c r="C29" s="1"/>
      <c r="D29" s="1"/>
      <c r="E29" s="1"/>
      <c r="F29" s="1"/>
      <c r="G29" s="1"/>
      <c r="H29" s="1"/>
      <c r="I29" s="1"/>
      <c r="J29" s="1"/>
      <c r="K29" s="1"/>
      <c r="L29" s="1"/>
      <c r="M29" s="1"/>
      <c r="N29" s="1"/>
      <c r="O29" s="1"/>
      <c r="P29" s="1"/>
      <c r="Q29" s="1"/>
      <c r="R29" s="1"/>
      <c r="S29" s="1"/>
      <c r="T29" s="1"/>
      <c r="U29" s="1"/>
      <c r="V29" s="1"/>
      <c r="W29" s="1"/>
      <c r="X29" s="1"/>
      <c r="Y29" s="1"/>
      <c r="Z29" s="1"/>
    </row>
    <row r="30" spans="1:26" ht="29" x14ac:dyDescent="0.35">
      <c r="A30" s="4" t="s">
        <v>29</v>
      </c>
      <c r="B30" s="1"/>
      <c r="C30" s="1"/>
      <c r="D30" s="1"/>
      <c r="E30" s="1"/>
      <c r="F30" s="1"/>
      <c r="G30" s="1"/>
      <c r="H30" s="1"/>
      <c r="I30" s="1"/>
      <c r="J30" s="1"/>
      <c r="K30" s="1"/>
      <c r="L30" s="1"/>
      <c r="M30" s="1"/>
      <c r="N30" s="1"/>
      <c r="O30" s="1"/>
      <c r="P30" s="1"/>
      <c r="Q30" s="1"/>
      <c r="R30" s="1"/>
      <c r="S30" s="1"/>
      <c r="T30" s="1"/>
      <c r="U30" s="1"/>
      <c r="V30" s="1"/>
      <c r="W30" s="1"/>
      <c r="X30" s="1"/>
      <c r="Y30" s="1"/>
      <c r="Z30" s="1"/>
    </row>
    <row r="31" spans="1:26" ht="29" x14ac:dyDescent="0.35">
      <c r="A31" s="4" t="s">
        <v>47</v>
      </c>
      <c r="B31" s="1" t="s">
        <v>48</v>
      </c>
      <c r="C31" s="1"/>
      <c r="D31" s="1"/>
      <c r="E31" s="12"/>
      <c r="F31" s="1"/>
      <c r="G31" s="1"/>
      <c r="H31" s="1"/>
      <c r="I31" s="1"/>
      <c r="J31" s="1"/>
      <c r="K31" s="1"/>
      <c r="L31" s="1"/>
      <c r="M31" s="1"/>
      <c r="N31" s="1"/>
      <c r="O31" s="1"/>
      <c r="P31" s="1"/>
      <c r="Q31" s="1"/>
      <c r="R31" s="1"/>
      <c r="S31" s="1"/>
      <c r="T31" s="1"/>
      <c r="U31" s="1"/>
      <c r="V31" s="1"/>
      <c r="W31" s="1"/>
      <c r="X31" s="1"/>
      <c r="Y31" s="1"/>
      <c r="Z31" s="1"/>
    </row>
    <row r="32" spans="1:26" x14ac:dyDescent="0.35">
      <c r="A32" s="4" t="s">
        <v>43</v>
      </c>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35">
      <c r="A33" s="4" t="s">
        <v>52</v>
      </c>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35">
      <c r="A34" s="4" t="s">
        <v>51</v>
      </c>
      <c r="B34" s="1"/>
      <c r="C34" s="1"/>
      <c r="D34" s="1"/>
      <c r="E34" s="1"/>
      <c r="F34" s="1"/>
      <c r="G34" s="1"/>
      <c r="H34" s="1"/>
      <c r="I34" s="1"/>
      <c r="J34" s="1"/>
      <c r="K34" s="1"/>
      <c r="L34" s="1"/>
      <c r="M34" s="1"/>
      <c r="N34" s="1"/>
      <c r="O34" s="1"/>
      <c r="P34" s="1"/>
      <c r="Q34" s="1"/>
      <c r="R34" s="1"/>
      <c r="S34" s="1"/>
      <c r="T34" s="1"/>
      <c r="U34" s="1"/>
      <c r="V34" s="1"/>
      <c r="W34" s="1"/>
      <c r="X34" s="1"/>
      <c r="Y34" s="1"/>
      <c r="Z34" s="1"/>
    </row>
    <row r="35" spans="1:26" ht="27" customHeight="1" x14ac:dyDescent="0.45">
      <c r="A35" s="13" t="s">
        <v>50</v>
      </c>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35">
      <c r="A36" s="4" t="s">
        <v>49</v>
      </c>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35">
      <c r="A37" s="4" t="s">
        <v>45</v>
      </c>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35">
      <c r="A38" s="4" t="s">
        <v>44</v>
      </c>
      <c r="B38" s="1"/>
      <c r="C38" s="1"/>
      <c r="D38" s="1"/>
      <c r="E38" s="1"/>
      <c r="F38" s="1"/>
      <c r="G38" s="1"/>
      <c r="H38" s="1"/>
      <c r="I38" s="1"/>
      <c r="J38" s="1"/>
      <c r="K38" s="1"/>
      <c r="L38" s="1"/>
      <c r="M38" s="1"/>
      <c r="N38" s="1"/>
      <c r="O38" s="1"/>
      <c r="P38" s="1"/>
      <c r="Q38" s="1"/>
      <c r="R38" s="1"/>
      <c r="S38" s="1"/>
      <c r="T38" s="1"/>
      <c r="U38" s="1"/>
      <c r="V38" s="1"/>
      <c r="W38" s="1"/>
      <c r="X38" s="1"/>
      <c r="Y38" s="1"/>
      <c r="Z38" s="1"/>
    </row>
  </sheetData>
  <mergeCells count="4">
    <mergeCell ref="C2:N2"/>
    <mergeCell ref="O2:Z2"/>
    <mergeCell ref="A23:A24"/>
    <mergeCell ref="A25:A26"/>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E84"/>
  <sheetViews>
    <sheetView tabSelected="1" topLeftCell="A2" zoomScale="75" zoomScaleNormal="75" workbookViewId="0">
      <pane xSplit="4" ySplit="4" topLeftCell="T33" activePane="bottomRight" state="frozen"/>
      <selection activeCell="A2" sqref="A2"/>
      <selection pane="topRight" activeCell="E2" sqref="E2"/>
      <selection pane="bottomLeft" activeCell="A4" sqref="A4"/>
      <selection pane="bottomRight" activeCell="U36" sqref="U36"/>
    </sheetView>
  </sheetViews>
  <sheetFormatPr defaultColWidth="9.1796875" defaultRowHeight="17" x14ac:dyDescent="0.4"/>
  <cols>
    <col min="1" max="1" width="68.81640625" style="112" customWidth="1"/>
    <col min="2" max="2" width="23.81640625" style="114" bestFit="1" customWidth="1"/>
    <col min="3" max="3" width="13.81640625" style="112" customWidth="1"/>
    <col min="4" max="4" width="19.26953125" style="114" customWidth="1"/>
    <col min="5" max="6" width="16" style="114" customWidth="1"/>
    <col min="7" max="7" width="16.7265625" style="114" customWidth="1"/>
    <col min="8" max="9" width="19.1796875" style="114" hidden="1" customWidth="1"/>
    <col min="10" max="10" width="18.81640625" style="114" hidden="1" customWidth="1"/>
    <col min="11" max="11" width="19.453125" style="114" hidden="1" customWidth="1"/>
    <col min="12" max="12" width="16.1796875" style="114" bestFit="1" customWidth="1"/>
    <col min="13" max="13" width="18.1796875" style="114" customWidth="1"/>
    <col min="14" max="14" width="21.453125" style="114" hidden="1" customWidth="1"/>
    <col min="15" max="15" width="19.1796875" style="114" bestFit="1" customWidth="1"/>
    <col min="16" max="16" width="21.453125" style="114" hidden="1" customWidth="1"/>
    <col min="17" max="17" width="21.453125" style="114" customWidth="1"/>
    <col min="18" max="19" width="21.453125" style="114" hidden="1" customWidth="1"/>
    <col min="20" max="20" width="21.453125" style="114" customWidth="1"/>
    <col min="21" max="21" width="21.453125" style="114" bestFit="1" customWidth="1"/>
    <col min="22" max="23" width="16.1796875" style="114" bestFit="1" customWidth="1"/>
    <col min="24" max="24" width="17.54296875" style="114" bestFit="1" customWidth="1"/>
    <col min="25" max="25" width="71" style="114" bestFit="1" customWidth="1"/>
    <col min="26" max="26" width="34.54296875" style="112" customWidth="1"/>
    <col min="27" max="27" width="12.7265625" style="112" customWidth="1"/>
    <col min="28" max="29" width="18" style="112" bestFit="1" customWidth="1"/>
    <col min="30" max="30" width="14.54296875" style="112" bestFit="1" customWidth="1"/>
    <col min="31" max="31" width="15.81640625" style="112" customWidth="1"/>
    <col min="32" max="16384" width="9.1796875" style="112"/>
  </cols>
  <sheetData>
    <row r="2" spans="1:28" x14ac:dyDescent="0.4">
      <c r="A2" s="112" t="s">
        <v>191</v>
      </c>
      <c r="B2" s="113">
        <f ca="1">TODAY()</f>
        <v>44070</v>
      </c>
    </row>
    <row r="4" spans="1:28" ht="37" x14ac:dyDescent="0.45">
      <c r="A4" s="135" t="s">
        <v>17</v>
      </c>
      <c r="B4" s="136" t="s">
        <v>92</v>
      </c>
      <c r="C4" s="137" t="s">
        <v>93</v>
      </c>
      <c r="D4" s="136" t="s">
        <v>53</v>
      </c>
      <c r="E4" s="136" t="s">
        <v>59</v>
      </c>
      <c r="F4" s="136" t="s">
        <v>54</v>
      </c>
      <c r="G4" s="138" t="s">
        <v>183</v>
      </c>
      <c r="H4" s="139" t="s">
        <v>125</v>
      </c>
      <c r="I4" s="139" t="s">
        <v>128</v>
      </c>
      <c r="J4" s="139" t="s">
        <v>181</v>
      </c>
      <c r="K4" s="140" t="s">
        <v>182</v>
      </c>
      <c r="L4" s="140" t="s">
        <v>194</v>
      </c>
      <c r="M4" s="136" t="s">
        <v>192</v>
      </c>
      <c r="N4" s="141" t="s">
        <v>184</v>
      </c>
      <c r="O4" s="141" t="s">
        <v>193</v>
      </c>
      <c r="P4" s="141" t="s">
        <v>185</v>
      </c>
      <c r="Q4" s="141" t="s">
        <v>248</v>
      </c>
      <c r="R4" s="141" t="s">
        <v>186</v>
      </c>
      <c r="S4" s="141" t="s">
        <v>250</v>
      </c>
      <c r="T4" s="141" t="s">
        <v>250</v>
      </c>
      <c r="U4" s="141" t="s">
        <v>187</v>
      </c>
      <c r="V4" s="136" t="s">
        <v>55</v>
      </c>
      <c r="W4" s="136" t="s">
        <v>56</v>
      </c>
      <c r="X4" s="142" t="s">
        <v>57</v>
      </c>
      <c r="Y4" s="136" t="s">
        <v>77</v>
      </c>
      <c r="Z4" s="115"/>
      <c r="AA4" s="115"/>
      <c r="AB4" s="115"/>
    </row>
    <row r="5" spans="1:28" ht="18.5" x14ac:dyDescent="0.45">
      <c r="A5" s="143" t="s">
        <v>61</v>
      </c>
      <c r="B5" s="144"/>
      <c r="C5" s="143"/>
      <c r="D5" s="145"/>
      <c r="E5" s="145"/>
      <c r="F5" s="145"/>
      <c r="G5" s="145"/>
      <c r="H5" s="145"/>
      <c r="I5" s="145"/>
      <c r="J5" s="145"/>
      <c r="K5" s="145"/>
      <c r="L5" s="145"/>
      <c r="M5" s="145"/>
      <c r="N5" s="145"/>
      <c r="O5" s="145"/>
      <c r="P5" s="145"/>
      <c r="Q5" s="145"/>
      <c r="R5" s="145"/>
      <c r="S5" s="145"/>
      <c r="T5" s="145"/>
      <c r="U5" s="145"/>
      <c r="V5" s="145"/>
      <c r="W5" s="145"/>
      <c r="X5" s="146"/>
      <c r="Y5" s="147"/>
    </row>
    <row r="6" spans="1:28" ht="18.5" x14ac:dyDescent="0.45">
      <c r="A6" s="32" t="s">
        <v>81</v>
      </c>
      <c r="B6" s="50"/>
      <c r="C6" s="123"/>
      <c r="D6" s="50"/>
      <c r="E6" s="50">
        <v>14520000</v>
      </c>
      <c r="F6" s="50">
        <v>45787235</v>
      </c>
      <c r="G6" s="50">
        <f>18269116-G34</f>
        <v>7920938</v>
      </c>
      <c r="H6" s="50"/>
      <c r="I6" s="50"/>
      <c r="J6" s="50"/>
      <c r="K6" s="50"/>
      <c r="L6" s="50"/>
      <c r="M6" s="50">
        <f>16015902-M34</f>
        <v>7521336</v>
      </c>
      <c r="N6" s="50"/>
      <c r="O6" s="50"/>
      <c r="P6" s="50"/>
      <c r="Q6" s="50"/>
      <c r="R6" s="50"/>
      <c r="S6" s="50"/>
      <c r="T6" s="50"/>
      <c r="U6" s="50"/>
      <c r="V6" s="50">
        <f>8234770-V34</f>
        <v>3990092</v>
      </c>
      <c r="W6" s="50">
        <f>24905206-W34</f>
        <v>4712629</v>
      </c>
      <c r="X6" s="148">
        <f>SUM(E6:W6)</f>
        <v>84452230</v>
      </c>
      <c r="Y6" s="125"/>
    </row>
    <row r="7" spans="1:28" ht="18.5" x14ac:dyDescent="0.45">
      <c r="A7" s="32" t="s">
        <v>89</v>
      </c>
      <c r="B7" s="50"/>
      <c r="C7" s="123"/>
      <c r="D7" s="50"/>
      <c r="E7" s="50">
        <v>0</v>
      </c>
      <c r="F7" s="50">
        <f>E31</f>
        <v>0</v>
      </c>
      <c r="G7" s="50">
        <f t="shared" ref="G7" si="0">F31</f>
        <v>19718528.27</v>
      </c>
      <c r="H7" s="50"/>
      <c r="I7" s="50"/>
      <c r="J7" s="50"/>
      <c r="K7" s="50"/>
      <c r="L7" s="50"/>
      <c r="M7" s="50">
        <f>G58</f>
        <v>19744168.459999997</v>
      </c>
      <c r="N7" s="50"/>
      <c r="O7" s="50"/>
      <c r="P7" s="50"/>
      <c r="Q7" s="50"/>
      <c r="R7" s="50"/>
      <c r="S7" s="50"/>
      <c r="T7" s="50"/>
      <c r="U7" s="50"/>
      <c r="V7" s="50">
        <f>M58</f>
        <v>14835307.744999994</v>
      </c>
      <c r="W7" s="50">
        <f t="shared" ref="W7" si="1">V58</f>
        <v>1255323.8199999928</v>
      </c>
      <c r="X7" s="148"/>
      <c r="Y7" s="125"/>
    </row>
    <row r="8" spans="1:28" ht="18.5" x14ac:dyDescent="0.45">
      <c r="A8" s="149" t="s">
        <v>85</v>
      </c>
      <c r="B8" s="150"/>
      <c r="C8" s="151"/>
      <c r="D8" s="150"/>
      <c r="E8" s="150">
        <f>E7+E6</f>
        <v>14520000</v>
      </c>
      <c r="F8" s="150">
        <f t="shared" ref="F8:W8" si="2">F7+F6</f>
        <v>45787235</v>
      </c>
      <c r="G8" s="150">
        <f t="shared" si="2"/>
        <v>27639466.27</v>
      </c>
      <c r="H8" s="150"/>
      <c r="I8" s="150"/>
      <c r="J8" s="150"/>
      <c r="K8" s="150"/>
      <c r="L8" s="150"/>
      <c r="M8" s="150">
        <f>M7+M6</f>
        <v>27265504.459999997</v>
      </c>
      <c r="N8" s="150"/>
      <c r="O8" s="150"/>
      <c r="P8" s="150"/>
      <c r="Q8" s="150"/>
      <c r="R8" s="150"/>
      <c r="S8" s="150"/>
      <c r="T8" s="150"/>
      <c r="U8" s="150"/>
      <c r="V8" s="150">
        <f t="shared" si="2"/>
        <v>18825399.744999994</v>
      </c>
      <c r="W8" s="150">
        <f t="shared" si="2"/>
        <v>5967952.8199999928</v>
      </c>
      <c r="X8" s="152"/>
      <c r="Y8" s="153"/>
    </row>
    <row r="9" spans="1:28" ht="18.5" x14ac:dyDescent="0.45">
      <c r="A9" s="154" t="s">
        <v>178</v>
      </c>
      <c r="B9" s="155"/>
      <c r="C9" s="156"/>
      <c r="D9" s="155"/>
      <c r="E9" s="155"/>
      <c r="F9" s="155"/>
      <c r="G9" s="155"/>
      <c r="H9" s="155"/>
      <c r="I9" s="155"/>
      <c r="J9" s="155"/>
      <c r="K9" s="155"/>
      <c r="L9" s="155"/>
      <c r="M9" s="155"/>
      <c r="N9" s="155"/>
      <c r="O9" s="155"/>
      <c r="P9" s="155"/>
      <c r="Q9" s="155"/>
      <c r="R9" s="155"/>
      <c r="S9" s="155"/>
      <c r="T9" s="155"/>
      <c r="U9" s="155"/>
      <c r="V9" s="155"/>
      <c r="W9" s="155"/>
      <c r="X9" s="157"/>
      <c r="Y9" s="158"/>
    </row>
    <row r="10" spans="1:28" ht="18.5" x14ac:dyDescent="0.45">
      <c r="A10" s="159" t="s">
        <v>39</v>
      </c>
      <c r="B10" s="160">
        <v>21637682</v>
      </c>
      <c r="C10" s="161">
        <f t="shared" ref="C10:C15" si="3">D10/B10*100</f>
        <v>62.391156317021391</v>
      </c>
      <c r="D10" s="130">
        <v>13500000</v>
      </c>
      <c r="E10" s="130">
        <v>6287993</v>
      </c>
      <c r="F10" s="130">
        <f>7212007</f>
        <v>7212007</v>
      </c>
      <c r="G10" s="130">
        <v>0</v>
      </c>
      <c r="H10" s="130">
        <v>0</v>
      </c>
      <c r="I10" s="130">
        <v>0</v>
      </c>
      <c r="J10" s="130"/>
      <c r="K10" s="130"/>
      <c r="L10" s="130">
        <f t="shared" ref="L10:L15" si="4">G10+F10+E10+O10</f>
        <v>13500000</v>
      </c>
      <c r="M10" s="130">
        <v>0</v>
      </c>
      <c r="N10" s="130"/>
      <c r="O10" s="130"/>
      <c r="P10" s="130"/>
      <c r="Q10" s="130"/>
      <c r="R10" s="130"/>
      <c r="S10" s="130"/>
      <c r="T10" s="130"/>
      <c r="U10" s="130"/>
      <c r="V10" s="130">
        <v>0</v>
      </c>
      <c r="W10" s="130"/>
      <c r="X10" s="130">
        <f>SUM(E10:W10)-H10-I10-L10</f>
        <v>13500000</v>
      </c>
      <c r="Y10" s="130"/>
      <c r="Z10" s="116"/>
      <c r="AA10" s="116"/>
    </row>
    <row r="11" spans="1:28" ht="18.5" x14ac:dyDescent="0.45">
      <c r="A11" s="159" t="s">
        <v>41</v>
      </c>
      <c r="B11" s="160">
        <v>17382850</v>
      </c>
      <c r="C11" s="161">
        <f t="shared" si="3"/>
        <v>39.119016732008852</v>
      </c>
      <c r="D11" s="130">
        <v>6800000</v>
      </c>
      <c r="E11" s="130">
        <v>2500000</v>
      </c>
      <c r="F11" s="130">
        <v>4300000</v>
      </c>
      <c r="G11" s="130">
        <v>0</v>
      </c>
      <c r="H11" s="130"/>
      <c r="I11" s="130"/>
      <c r="J11" s="130"/>
      <c r="K11" s="130"/>
      <c r="L11" s="130">
        <f t="shared" si="4"/>
        <v>6800000</v>
      </c>
      <c r="M11" s="130"/>
      <c r="N11" s="130"/>
      <c r="O11" s="130"/>
      <c r="P11" s="130"/>
      <c r="Q11" s="130"/>
      <c r="R11" s="130"/>
      <c r="S11" s="130"/>
      <c r="T11" s="130"/>
      <c r="U11" s="130"/>
      <c r="V11" s="130"/>
      <c r="W11" s="130"/>
      <c r="X11" s="130">
        <f t="shared" ref="X11:X14" si="5">SUM(E11:W11)-H11-I11-L11</f>
        <v>6800000</v>
      </c>
      <c r="Y11" s="130"/>
      <c r="Z11" s="116"/>
      <c r="AA11" s="116"/>
    </row>
    <row r="12" spans="1:28" ht="18.5" x14ac:dyDescent="0.45">
      <c r="A12" s="159" t="s">
        <v>175</v>
      </c>
      <c r="B12" s="160">
        <v>7500000</v>
      </c>
      <c r="C12" s="161">
        <f t="shared" si="3"/>
        <v>100</v>
      </c>
      <c r="D12" s="162">
        <v>7500000</v>
      </c>
      <c r="E12" s="162">
        <v>7500000</v>
      </c>
      <c r="F12" s="162"/>
      <c r="G12" s="162"/>
      <c r="H12" s="162"/>
      <c r="I12" s="162"/>
      <c r="J12" s="162"/>
      <c r="K12" s="162"/>
      <c r="L12" s="130">
        <f t="shared" si="4"/>
        <v>7500000</v>
      </c>
      <c r="M12" s="162"/>
      <c r="N12" s="162"/>
      <c r="O12" s="162"/>
      <c r="P12" s="162"/>
      <c r="Q12" s="162"/>
      <c r="R12" s="162"/>
      <c r="S12" s="162"/>
      <c r="T12" s="162"/>
      <c r="U12" s="162"/>
      <c r="V12" s="162"/>
      <c r="W12" s="162"/>
      <c r="X12" s="130">
        <f t="shared" si="5"/>
        <v>7500000</v>
      </c>
      <c r="Y12" s="130"/>
      <c r="Z12" s="116"/>
      <c r="AA12" s="116"/>
    </row>
    <row r="13" spans="1:28" ht="18.5" x14ac:dyDescent="0.45">
      <c r="A13" s="159" t="s">
        <v>176</v>
      </c>
      <c r="B13" s="160">
        <v>25747350</v>
      </c>
      <c r="C13" s="161">
        <f t="shared" si="3"/>
        <v>18.642695267668323</v>
      </c>
      <c r="D13" s="162">
        <v>4800000</v>
      </c>
      <c r="E13" s="162">
        <v>4800000</v>
      </c>
      <c r="F13" s="162"/>
      <c r="G13" s="162"/>
      <c r="H13" s="162"/>
      <c r="I13" s="162"/>
      <c r="J13" s="162"/>
      <c r="K13" s="162"/>
      <c r="L13" s="130">
        <f t="shared" si="4"/>
        <v>4800000</v>
      </c>
      <c r="M13" s="162"/>
      <c r="N13" s="162"/>
      <c r="O13" s="162"/>
      <c r="P13" s="162"/>
      <c r="Q13" s="162"/>
      <c r="R13" s="162"/>
      <c r="S13" s="162"/>
      <c r="T13" s="162"/>
      <c r="U13" s="162"/>
      <c r="V13" s="162"/>
      <c r="W13" s="162"/>
      <c r="X13" s="130">
        <f t="shared" si="5"/>
        <v>4800000</v>
      </c>
      <c r="Y13" s="130"/>
      <c r="Z13" s="116"/>
      <c r="AA13" s="116"/>
    </row>
    <row r="14" spans="1:28" ht="18.5" x14ac:dyDescent="0.45">
      <c r="A14" s="159" t="s">
        <v>137</v>
      </c>
      <c r="B14" s="160">
        <v>4986000</v>
      </c>
      <c r="C14" s="161">
        <f t="shared" si="3"/>
        <v>42.920176494183714</v>
      </c>
      <c r="D14" s="130">
        <v>2140000</v>
      </c>
      <c r="E14" s="130">
        <v>2140000</v>
      </c>
      <c r="F14" s="130">
        <v>0</v>
      </c>
      <c r="G14" s="130">
        <v>0</v>
      </c>
      <c r="H14" s="130">
        <v>0</v>
      </c>
      <c r="I14" s="130">
        <v>0</v>
      </c>
      <c r="J14" s="130"/>
      <c r="K14" s="130">
        <v>0</v>
      </c>
      <c r="L14" s="130">
        <f t="shared" si="4"/>
        <v>2140000</v>
      </c>
      <c r="M14" s="130"/>
      <c r="N14" s="130"/>
      <c r="O14" s="130"/>
      <c r="P14" s="130"/>
      <c r="Q14" s="130"/>
      <c r="R14" s="130"/>
      <c r="S14" s="130"/>
      <c r="T14" s="130"/>
      <c r="U14" s="130"/>
      <c r="V14" s="130"/>
      <c r="W14" s="130"/>
      <c r="X14" s="130">
        <f t="shared" si="5"/>
        <v>2140000</v>
      </c>
      <c r="Y14" s="130"/>
      <c r="Z14" s="116"/>
      <c r="AA14" s="116"/>
      <c r="AB14" s="116"/>
    </row>
    <row r="15" spans="1:28" ht="18.5" x14ac:dyDescent="0.45">
      <c r="A15" s="159" t="s">
        <v>138</v>
      </c>
      <c r="B15" s="160">
        <v>11690000</v>
      </c>
      <c r="C15" s="161">
        <f t="shared" si="3"/>
        <v>42.771599657827203</v>
      </c>
      <c r="D15" s="130">
        <v>5000000</v>
      </c>
      <c r="E15" s="130"/>
      <c r="F15" s="130">
        <v>2476986</v>
      </c>
      <c r="G15" s="130">
        <f>SUM(H15:K15)</f>
        <v>2523014</v>
      </c>
      <c r="H15" s="130">
        <v>1660000</v>
      </c>
      <c r="I15" s="130"/>
      <c r="J15" s="130">
        <v>363014</v>
      </c>
      <c r="K15" s="125">
        <v>500000</v>
      </c>
      <c r="L15" s="130">
        <f t="shared" si="4"/>
        <v>5000000</v>
      </c>
      <c r="M15" s="130">
        <v>0</v>
      </c>
      <c r="N15" s="130"/>
      <c r="O15" s="130">
        <v>0</v>
      </c>
      <c r="P15" s="130"/>
      <c r="Q15" s="130">
        <v>0</v>
      </c>
      <c r="R15" s="130"/>
      <c r="S15" s="130"/>
      <c r="T15" s="130"/>
      <c r="U15" s="130"/>
      <c r="V15" s="130"/>
      <c r="W15" s="130"/>
      <c r="X15" s="130">
        <f>E15+F15+G15+M15+V15+W15</f>
        <v>5000000</v>
      </c>
      <c r="Y15" s="130" t="s">
        <v>251</v>
      </c>
      <c r="Z15" s="116"/>
      <c r="AA15" s="116"/>
      <c r="AB15" s="116"/>
    </row>
    <row r="16" spans="1:28" ht="18.5" x14ac:dyDescent="0.45">
      <c r="A16" s="159" t="s">
        <v>24</v>
      </c>
      <c r="B16" s="160">
        <v>7457971.5599999996</v>
      </c>
      <c r="C16" s="161">
        <f>D16/B16*100</f>
        <v>33.185967257831699</v>
      </c>
      <c r="D16" s="130">
        <v>2475000</v>
      </c>
      <c r="E16" s="130">
        <v>835000</v>
      </c>
      <c r="F16" s="130">
        <v>1069000</v>
      </c>
      <c r="G16" s="130">
        <f>SUM(H16:K16)</f>
        <v>447250</v>
      </c>
      <c r="H16" s="130"/>
      <c r="I16" s="130">
        <v>323500</v>
      </c>
      <c r="J16" s="130">
        <v>0</v>
      </c>
      <c r="K16" s="125">
        <v>123750</v>
      </c>
      <c r="L16" s="130">
        <f>G16+F16+E16+O16</f>
        <v>2351250</v>
      </c>
      <c r="M16" s="130">
        <v>123750</v>
      </c>
      <c r="N16" s="130"/>
      <c r="O16" s="130">
        <v>0</v>
      </c>
      <c r="P16" s="130">
        <v>123750</v>
      </c>
      <c r="Q16" s="130">
        <v>123750</v>
      </c>
      <c r="R16" s="130"/>
      <c r="S16" s="130"/>
      <c r="T16" s="130"/>
      <c r="U16" s="130">
        <v>0</v>
      </c>
      <c r="V16" s="130"/>
      <c r="W16" s="130"/>
      <c r="X16" s="130">
        <f>W16+V16+L16+M16-O16</f>
        <v>2475000</v>
      </c>
      <c r="Y16" s="130" t="s">
        <v>251</v>
      </c>
      <c r="Z16" s="116"/>
      <c r="AA16" s="116"/>
      <c r="AB16" s="116"/>
    </row>
    <row r="17" spans="1:28" ht="18.5" x14ac:dyDescent="0.45">
      <c r="A17" s="159" t="s">
        <v>26</v>
      </c>
      <c r="B17" s="160">
        <v>1889306.55</v>
      </c>
      <c r="C17" s="161">
        <f>D17/B17*100</f>
        <v>35.719454844424263</v>
      </c>
      <c r="D17" s="130">
        <v>674850</v>
      </c>
      <c r="E17" s="130">
        <v>41000</v>
      </c>
      <c r="F17" s="130">
        <v>412000</v>
      </c>
      <c r="G17" s="130">
        <f>SUM(H17:K17)</f>
        <v>188107.5</v>
      </c>
      <c r="H17" s="130"/>
      <c r="I17" s="130">
        <f>50193</f>
        <v>50193</v>
      </c>
      <c r="J17" s="130">
        <v>104172</v>
      </c>
      <c r="K17" s="125">
        <v>33742.5</v>
      </c>
      <c r="L17" s="130">
        <f>G17+F17+E17+O17+Q17</f>
        <v>674850.5</v>
      </c>
      <c r="M17" s="130">
        <v>33742.5</v>
      </c>
      <c r="N17" s="130">
        <v>33743</v>
      </c>
      <c r="O17" s="130">
        <v>0</v>
      </c>
      <c r="P17" s="130">
        <v>33742</v>
      </c>
      <c r="Q17" s="130">
        <v>33743</v>
      </c>
      <c r="R17" s="130"/>
      <c r="S17" s="130"/>
      <c r="T17" s="130"/>
      <c r="U17" s="130">
        <v>0</v>
      </c>
      <c r="V17" s="130"/>
      <c r="W17" s="130"/>
      <c r="X17" s="130">
        <f>L17</f>
        <v>674850.5</v>
      </c>
      <c r="Y17" s="130" t="s">
        <v>251</v>
      </c>
      <c r="Z17" s="116"/>
      <c r="AA17" s="116"/>
      <c r="AB17" s="116"/>
    </row>
    <row r="18" spans="1:28" ht="18.5" x14ac:dyDescent="0.45">
      <c r="A18" s="159" t="s">
        <v>170</v>
      </c>
      <c r="B18" s="160">
        <v>6169153.6299999999</v>
      </c>
      <c r="C18" s="161">
        <f>D18/B18*100</f>
        <v>35.170950994780135</v>
      </c>
      <c r="D18" s="130">
        <v>2169750</v>
      </c>
      <c r="E18" s="130">
        <v>330000</v>
      </c>
      <c r="F18" s="130">
        <v>1179000</v>
      </c>
      <c r="G18" s="130">
        <f>SUM(H18:K18)</f>
        <v>552262.5</v>
      </c>
      <c r="H18" s="130"/>
      <c r="I18" s="130">
        <v>443775</v>
      </c>
      <c r="J18" s="130">
        <v>0</v>
      </c>
      <c r="K18" s="125">
        <v>108487.5</v>
      </c>
      <c r="L18" s="130">
        <v>2169751</v>
      </c>
      <c r="M18" s="130">
        <v>108488</v>
      </c>
      <c r="N18" s="130"/>
      <c r="O18" s="130">
        <v>0</v>
      </c>
      <c r="P18" s="130">
        <v>108488</v>
      </c>
      <c r="Q18" s="130">
        <v>108488</v>
      </c>
      <c r="R18" s="130"/>
      <c r="S18" s="130"/>
      <c r="T18" s="130"/>
      <c r="U18" s="130"/>
      <c r="V18" s="130"/>
      <c r="W18" s="130"/>
      <c r="X18" s="130">
        <v>2169750</v>
      </c>
      <c r="Y18" s="130" t="s">
        <v>251</v>
      </c>
      <c r="Z18" s="116"/>
      <c r="AA18" s="116"/>
      <c r="AB18" s="116"/>
    </row>
    <row r="19" spans="1:28" ht="18.5" x14ac:dyDescent="0.45">
      <c r="A19" s="159" t="s">
        <v>58</v>
      </c>
      <c r="B19" s="160">
        <v>3791198</v>
      </c>
      <c r="C19" s="161">
        <f>D19/B19*100</f>
        <v>84.353283579491233</v>
      </c>
      <c r="D19" s="130">
        <v>3198000</v>
      </c>
      <c r="E19" s="130"/>
      <c r="F19" s="130">
        <v>0</v>
      </c>
      <c r="G19" s="130">
        <f>SUM(H19:K19)</f>
        <v>955796.61</v>
      </c>
      <c r="H19" s="130"/>
      <c r="I19" s="130">
        <v>546425</v>
      </c>
      <c r="J19" s="130">
        <v>0</v>
      </c>
      <c r="K19" s="125">
        <v>409371.61</v>
      </c>
      <c r="L19" s="130">
        <f>G19+F19+E19+O19+Q19+T19</f>
        <v>3198000</v>
      </c>
      <c r="M19" s="130">
        <f>3198000-SUM(H19:K19)</f>
        <v>2242203.39</v>
      </c>
      <c r="N19" s="130"/>
      <c r="O19" s="130">
        <v>1175820.68</v>
      </c>
      <c r="P19" s="130">
        <f>3198000-L19</f>
        <v>0</v>
      </c>
      <c r="Q19" s="130">
        <v>1066382.71</v>
      </c>
      <c r="R19" s="130"/>
      <c r="S19" s="130"/>
      <c r="T19" s="130">
        <v>0</v>
      </c>
      <c r="U19" s="130">
        <v>0</v>
      </c>
      <c r="V19" s="130"/>
      <c r="W19" s="130"/>
      <c r="X19" s="130">
        <f>W19+V19+L19+M19-O19-Q19</f>
        <v>3198000.0000000009</v>
      </c>
      <c r="Y19" s="130" t="s">
        <v>107</v>
      </c>
      <c r="Z19" s="116"/>
      <c r="AA19" s="116"/>
      <c r="AB19" s="116"/>
    </row>
    <row r="20" spans="1:28" ht="18.5" x14ac:dyDescent="0.45">
      <c r="A20" s="204"/>
      <c r="B20" s="205"/>
      <c r="C20" s="206"/>
      <c r="D20" s="207"/>
      <c r="E20" s="207"/>
      <c r="F20" s="207"/>
      <c r="G20" s="207"/>
      <c r="H20" s="207"/>
      <c r="I20" s="207"/>
      <c r="J20" s="207"/>
      <c r="K20" s="153"/>
      <c r="L20" s="207"/>
      <c r="M20" s="207"/>
      <c r="N20" s="207"/>
      <c r="O20" s="207"/>
      <c r="P20" s="207"/>
      <c r="Q20" s="207"/>
      <c r="R20" s="207"/>
      <c r="S20" s="207"/>
      <c r="T20" s="207"/>
      <c r="U20" s="207"/>
      <c r="V20" s="207"/>
      <c r="W20" s="207"/>
      <c r="X20" s="208"/>
      <c r="Y20" s="207"/>
      <c r="Z20" s="116"/>
      <c r="AA20" s="116"/>
      <c r="AB20" s="116"/>
    </row>
    <row r="21" spans="1:28" ht="18.5" x14ac:dyDescent="0.45">
      <c r="A21" s="154" t="s">
        <v>179</v>
      </c>
      <c r="B21" s="155"/>
      <c r="C21" s="163"/>
      <c r="D21" s="155"/>
      <c r="E21" s="155"/>
      <c r="F21" s="155"/>
      <c r="G21" s="155"/>
      <c r="H21" s="155"/>
      <c r="I21" s="155"/>
      <c r="J21" s="155"/>
      <c r="K21" s="155"/>
      <c r="L21" s="155"/>
      <c r="M21" s="155"/>
      <c r="N21" s="155"/>
      <c r="O21" s="155"/>
      <c r="P21" s="155"/>
      <c r="Q21" s="155"/>
      <c r="R21" s="155"/>
      <c r="S21" s="155"/>
      <c r="T21" s="155"/>
      <c r="U21" s="155"/>
      <c r="V21" s="155"/>
      <c r="W21" s="155"/>
      <c r="X21" s="157"/>
      <c r="Y21" s="158"/>
      <c r="Z21" s="116"/>
      <c r="AA21" s="116"/>
    </row>
    <row r="22" spans="1:28" ht="18.5" x14ac:dyDescent="0.45">
      <c r="A22" s="159" t="s">
        <v>18</v>
      </c>
      <c r="B22" s="160">
        <v>10378000</v>
      </c>
      <c r="C22" s="164">
        <f>D22/B22*100</f>
        <v>56.369242628637508</v>
      </c>
      <c r="D22" s="130">
        <v>5850000</v>
      </c>
      <c r="E22" s="130"/>
      <c r="F22" s="130">
        <v>800000</v>
      </c>
      <c r="G22" s="130">
        <f t="shared" ref="G22:G28" si="6">SUM(H22:K22)</f>
        <v>1367646</v>
      </c>
      <c r="H22" s="130">
        <v>530646</v>
      </c>
      <c r="I22" s="130">
        <v>115000</v>
      </c>
      <c r="J22" s="130">
        <v>105000</v>
      </c>
      <c r="K22" s="125">
        <v>617000</v>
      </c>
      <c r="L22" s="130">
        <f>G22+F22+O22+Q22+T22</f>
        <v>3019846</v>
      </c>
      <c r="M22" s="130">
        <f>5850000-L22-V22</f>
        <v>2830154</v>
      </c>
      <c r="N22" s="130"/>
      <c r="O22" s="130">
        <v>113000</v>
      </c>
      <c r="P22" s="130">
        <v>163000</v>
      </c>
      <c r="Q22" s="130">
        <v>675200</v>
      </c>
      <c r="R22" s="130">
        <v>500000</v>
      </c>
      <c r="S22" s="130"/>
      <c r="T22" s="125">
        <v>64000</v>
      </c>
      <c r="U22" s="130">
        <f t="shared" ref="U22" si="7">M22-SUM(O22:R22)</f>
        <v>1378954</v>
      </c>
      <c r="V22" s="130">
        <v>0</v>
      </c>
      <c r="W22" s="130"/>
      <c r="X22" s="130">
        <f>W22+V22+L22+M22</f>
        <v>5850000</v>
      </c>
      <c r="Y22" s="160" t="s">
        <v>195</v>
      </c>
      <c r="Z22" s="116">
        <f>800000+1367646+3276854+292500</f>
        <v>5737000</v>
      </c>
      <c r="AA22" s="116"/>
      <c r="AB22" s="116"/>
    </row>
    <row r="23" spans="1:28" ht="18.5" x14ac:dyDescent="0.45">
      <c r="A23" s="159" t="s">
        <v>22</v>
      </c>
      <c r="B23" s="160">
        <v>7500000</v>
      </c>
      <c r="C23" s="161">
        <f t="shared" ref="C23:C30" si="8">D23/B23*100</f>
        <v>44</v>
      </c>
      <c r="D23" s="130">
        <v>3300000</v>
      </c>
      <c r="E23" s="130"/>
      <c r="F23" s="130">
        <v>381480</v>
      </c>
      <c r="G23" s="130">
        <f t="shared" si="6"/>
        <v>962527</v>
      </c>
      <c r="H23" s="130">
        <v>962527</v>
      </c>
      <c r="I23" s="130">
        <v>0</v>
      </c>
      <c r="J23" s="130">
        <v>0</v>
      </c>
      <c r="K23" s="125">
        <v>0</v>
      </c>
      <c r="L23" s="130">
        <f>G23+F23+O23+Q23+T23</f>
        <v>3300000</v>
      </c>
      <c r="M23" s="130">
        <f>D23-F23-G23</f>
        <v>1955993</v>
      </c>
      <c r="N23" s="130">
        <v>500000</v>
      </c>
      <c r="O23" s="130">
        <v>540423</v>
      </c>
      <c r="P23" s="130">
        <v>500000</v>
      </c>
      <c r="Q23" s="130">
        <v>1103857</v>
      </c>
      <c r="R23" s="130">
        <v>0</v>
      </c>
      <c r="S23" s="130"/>
      <c r="T23" s="125">
        <f>312143-430</f>
        <v>311713</v>
      </c>
      <c r="U23" s="130">
        <v>0</v>
      </c>
      <c r="V23" s="130"/>
      <c r="W23" s="130"/>
      <c r="X23" s="130">
        <f>W23+V23+L23</f>
        <v>3300000</v>
      </c>
      <c r="Y23" s="130" t="s">
        <v>190</v>
      </c>
      <c r="Z23" s="116"/>
      <c r="AA23" s="116"/>
      <c r="AB23" s="116"/>
    </row>
    <row r="24" spans="1:28" ht="18.5" x14ac:dyDescent="0.45">
      <c r="A24" s="159" t="s">
        <v>73</v>
      </c>
      <c r="B24" s="160">
        <v>31982000</v>
      </c>
      <c r="C24" s="161">
        <f t="shared" si="8"/>
        <v>31.267588018260273</v>
      </c>
      <c r="D24" s="130">
        <v>10000000</v>
      </c>
      <c r="E24" s="130">
        <v>1459006.52</v>
      </c>
      <c r="F24" s="130">
        <v>2269701.73</v>
      </c>
      <c r="G24" s="130">
        <f t="shared" si="6"/>
        <v>3273615.64</v>
      </c>
      <c r="H24" s="130"/>
      <c r="I24" s="130">
        <v>1710097.72</v>
      </c>
      <c r="J24" s="130">
        <v>1042345.28</v>
      </c>
      <c r="K24" s="125">
        <v>521172.64</v>
      </c>
      <c r="L24" s="130">
        <f t="shared" ref="L24" si="9">G24+F24+E24+O24+Q24+T24</f>
        <v>7979516.790000001</v>
      </c>
      <c r="M24" s="130">
        <f>7000000*0.3127</f>
        <v>2188900</v>
      </c>
      <c r="N24" s="130">
        <f>1500000*0.3127</f>
        <v>469049.99999999994</v>
      </c>
      <c r="O24" s="130">
        <v>651460</v>
      </c>
      <c r="P24" s="130">
        <f>2000000*0.3127</f>
        <v>625400</v>
      </c>
      <c r="Q24" s="130"/>
      <c r="R24" s="130">
        <v>469050</v>
      </c>
      <c r="S24" s="130">
        <v>325732.90000000002</v>
      </c>
      <c r="T24" s="130">
        <v>325732.90000000002</v>
      </c>
      <c r="U24" s="130">
        <v>600000</v>
      </c>
      <c r="V24" s="130">
        <f>10000000-9191224</f>
        <v>808776</v>
      </c>
      <c r="W24" s="130">
        <v>0</v>
      </c>
      <c r="X24" s="130">
        <f t="shared" ref="X24:X29" si="10">W24+V24+L24+M24-O24-Q24</f>
        <v>10325732.790000001</v>
      </c>
      <c r="Y24" s="130" t="s">
        <v>190</v>
      </c>
      <c r="Z24" s="116"/>
      <c r="AA24" s="116"/>
      <c r="AB24" s="116"/>
    </row>
    <row r="25" spans="1:28" ht="18.5" x14ac:dyDescent="0.45">
      <c r="A25" s="159" t="s">
        <v>25</v>
      </c>
      <c r="B25" s="160">
        <v>11244158.130000001</v>
      </c>
      <c r="C25" s="161">
        <f t="shared" si="8"/>
        <v>31.859343835108444</v>
      </c>
      <c r="D25" s="130">
        <v>3582315</v>
      </c>
      <c r="E25" s="130">
        <v>927000</v>
      </c>
      <c r="F25" s="130">
        <v>1685000</v>
      </c>
      <c r="G25" s="130">
        <f t="shared" si="6"/>
        <v>791199.5</v>
      </c>
      <c r="H25" s="130"/>
      <c r="I25" s="130">
        <v>612084</v>
      </c>
      <c r="J25" s="130">
        <v>0</v>
      </c>
      <c r="K25" s="125">
        <v>179115.5</v>
      </c>
      <c r="L25" s="130">
        <f>G25+F25+E25+O25+Q25+T25</f>
        <v>3582315.5</v>
      </c>
      <c r="M25" s="130">
        <f>3556000-3403200</f>
        <v>152800</v>
      </c>
      <c r="N25" s="130">
        <v>0</v>
      </c>
      <c r="O25" s="130">
        <v>0</v>
      </c>
      <c r="P25" s="130"/>
      <c r="Q25" s="130"/>
      <c r="R25" s="130"/>
      <c r="S25" s="130"/>
      <c r="T25" s="130">
        <v>179116</v>
      </c>
      <c r="U25" s="130"/>
      <c r="V25" s="130"/>
      <c r="W25" s="130"/>
      <c r="X25" s="130">
        <f>W25+V25+L25-O25-Q25</f>
        <v>3582315.5</v>
      </c>
      <c r="Y25" s="130" t="s">
        <v>252</v>
      </c>
      <c r="Z25" s="116"/>
      <c r="AA25" s="116"/>
      <c r="AB25" s="116"/>
    </row>
    <row r="26" spans="1:28" ht="55.5" x14ac:dyDescent="0.45">
      <c r="A26" s="165" t="s">
        <v>37</v>
      </c>
      <c r="B26" s="166">
        <v>19891000</v>
      </c>
      <c r="C26" s="161">
        <f t="shared" si="8"/>
        <v>26.645216429540998</v>
      </c>
      <c r="D26" s="130">
        <v>5300000</v>
      </c>
      <c r="E26" s="130"/>
      <c r="F26" s="130">
        <v>2383532</v>
      </c>
      <c r="G26" s="130">
        <f t="shared" si="6"/>
        <v>1804104</v>
      </c>
      <c r="H26" s="130">
        <v>424000</v>
      </c>
      <c r="I26" s="130">
        <v>0</v>
      </c>
      <c r="J26" s="130">
        <v>0</v>
      </c>
      <c r="K26" s="125">
        <v>1380104</v>
      </c>
      <c r="L26" s="130">
        <f>G26+F26+E26+O26+Q26+T26</f>
        <v>4770000</v>
      </c>
      <c r="M26" s="130">
        <v>582364</v>
      </c>
      <c r="N26" s="130"/>
      <c r="O26" s="130">
        <v>0</v>
      </c>
      <c r="P26" s="130">
        <v>0</v>
      </c>
      <c r="Q26" s="130">
        <v>0</v>
      </c>
      <c r="R26" s="130">
        <v>0</v>
      </c>
      <c r="S26" s="130"/>
      <c r="T26" s="125">
        <v>582364</v>
      </c>
      <c r="U26" s="130">
        <v>0</v>
      </c>
      <c r="V26" s="130">
        <f>530000</f>
        <v>530000</v>
      </c>
      <c r="W26" s="167"/>
      <c r="X26" s="130">
        <f t="shared" si="10"/>
        <v>5882364</v>
      </c>
      <c r="Y26" s="160" t="s">
        <v>197</v>
      </c>
      <c r="Z26" s="116"/>
      <c r="AA26" s="116"/>
      <c r="AB26" s="116"/>
    </row>
    <row r="27" spans="1:28" ht="37" x14ac:dyDescent="0.45">
      <c r="A27" s="168" t="s">
        <v>36</v>
      </c>
      <c r="B27" s="169">
        <v>19694000</v>
      </c>
      <c r="C27" s="161">
        <f t="shared" si="8"/>
        <v>33.157306793947392</v>
      </c>
      <c r="D27" s="130">
        <v>6530000</v>
      </c>
      <c r="E27" s="130"/>
      <c r="F27" s="130">
        <v>1900000</v>
      </c>
      <c r="G27" s="130">
        <f t="shared" si="6"/>
        <v>3167429</v>
      </c>
      <c r="H27" s="130">
        <v>665000</v>
      </c>
      <c r="I27" s="130">
        <v>535000</v>
      </c>
      <c r="J27" s="130">
        <v>302979</v>
      </c>
      <c r="K27" s="125">
        <v>1664450</v>
      </c>
      <c r="L27" s="130">
        <f t="shared" ref="L27:L29" si="11">G27+F27+E27+O27+Q27+T27</f>
        <v>5877000</v>
      </c>
      <c r="M27" s="130">
        <f>6530000-5720429</f>
        <v>809571</v>
      </c>
      <c r="N27" s="130">
        <v>200000</v>
      </c>
      <c r="O27" s="130">
        <v>809571</v>
      </c>
      <c r="P27" s="130">
        <v>0</v>
      </c>
      <c r="Q27" s="130">
        <v>0</v>
      </c>
      <c r="R27" s="130">
        <v>0</v>
      </c>
      <c r="S27" s="130"/>
      <c r="T27" s="130">
        <v>0</v>
      </c>
      <c r="U27" s="130">
        <f t="shared" ref="U27" si="12">M27-SUM(O27:R27)</f>
        <v>0</v>
      </c>
      <c r="V27" s="130">
        <v>653000</v>
      </c>
      <c r="W27" s="130"/>
      <c r="X27" s="130">
        <f t="shared" si="10"/>
        <v>6530000</v>
      </c>
      <c r="Y27" s="160" t="s">
        <v>189</v>
      </c>
      <c r="Z27" s="116"/>
      <c r="AA27" s="116"/>
      <c r="AB27" s="116"/>
    </row>
    <row r="28" spans="1:28" ht="18.5" x14ac:dyDescent="0.45">
      <c r="A28" s="159" t="s">
        <v>35</v>
      </c>
      <c r="B28" s="160">
        <v>17392000</v>
      </c>
      <c r="C28" s="161">
        <f t="shared" si="8"/>
        <v>47.908394664213432</v>
      </c>
      <c r="D28" s="130">
        <v>8332228</v>
      </c>
      <c r="E28" s="130"/>
      <c r="F28" s="130"/>
      <c r="G28" s="130">
        <f t="shared" si="6"/>
        <v>0</v>
      </c>
      <c r="H28" s="130"/>
      <c r="I28" s="130"/>
      <c r="J28" s="130">
        <v>0</v>
      </c>
      <c r="K28" s="125">
        <v>0</v>
      </c>
      <c r="L28" s="130">
        <f t="shared" si="11"/>
        <v>0</v>
      </c>
      <c r="M28" s="130">
        <v>285500</v>
      </c>
      <c r="N28" s="130"/>
      <c r="O28" s="130">
        <v>0</v>
      </c>
      <c r="P28" s="130"/>
      <c r="Q28" s="130">
        <v>0</v>
      </c>
      <c r="R28" s="130">
        <v>125000</v>
      </c>
      <c r="S28" s="130"/>
      <c r="T28" s="130">
        <v>0</v>
      </c>
      <c r="U28" s="130">
        <v>160500</v>
      </c>
      <c r="V28" s="130">
        <f>4890000/2</f>
        <v>2445000</v>
      </c>
      <c r="W28" s="130">
        <f>8332228-V28-U28-R28</f>
        <v>5601728</v>
      </c>
      <c r="X28" s="130">
        <f>W28+V28+L28+M28</f>
        <v>8332228</v>
      </c>
      <c r="Y28" s="160" t="s">
        <v>272</v>
      </c>
      <c r="Z28" s="116"/>
      <c r="AA28" s="116"/>
      <c r="AB28" s="116"/>
    </row>
    <row r="29" spans="1:28" ht="18.5" x14ac:dyDescent="0.45">
      <c r="A29" s="159" t="s">
        <v>46</v>
      </c>
      <c r="B29" s="160">
        <v>50700000</v>
      </c>
      <c r="C29" s="161">
        <f t="shared" si="8"/>
        <v>11.045364891518737</v>
      </c>
      <c r="D29" s="130">
        <v>5600000</v>
      </c>
      <c r="E29" s="130"/>
      <c r="F29" s="130">
        <v>0</v>
      </c>
      <c r="G29" s="130">
        <v>0</v>
      </c>
      <c r="H29" s="130"/>
      <c r="I29" s="130"/>
      <c r="J29" s="130">
        <v>0</v>
      </c>
      <c r="K29" s="130">
        <v>0</v>
      </c>
      <c r="L29" s="130">
        <f t="shared" si="11"/>
        <v>0</v>
      </c>
      <c r="M29" s="130">
        <v>4000000</v>
      </c>
      <c r="N29" s="130"/>
      <c r="O29" s="130">
        <v>0</v>
      </c>
      <c r="P29" s="130"/>
      <c r="Q29" s="130"/>
      <c r="R29" s="130">
        <v>0</v>
      </c>
      <c r="S29" s="130"/>
      <c r="T29" s="130">
        <v>0</v>
      </c>
      <c r="U29" s="130">
        <v>4900000</v>
      </c>
      <c r="V29" s="130"/>
      <c r="W29" s="130">
        <v>1600000</v>
      </c>
      <c r="X29" s="130">
        <f t="shared" si="10"/>
        <v>5600000</v>
      </c>
      <c r="Y29" s="160" t="s">
        <v>273</v>
      </c>
      <c r="Z29" s="116"/>
      <c r="AA29" s="116"/>
      <c r="AB29" s="116"/>
    </row>
    <row r="30" spans="1:28" ht="18.5" x14ac:dyDescent="0.45">
      <c r="A30" s="170" t="s">
        <v>72</v>
      </c>
      <c r="B30" s="171">
        <f>SUM(B10:B29)</f>
        <v>277032669.87</v>
      </c>
      <c r="C30" s="161">
        <f t="shared" si="8"/>
        <v>34.924452428445271</v>
      </c>
      <c r="D30" s="172">
        <f t="shared" ref="D30:X30" si="13">SUM(D10:D29)</f>
        <v>96752143</v>
      </c>
      <c r="E30" s="172">
        <f t="shared" si="13"/>
        <v>26819999.52</v>
      </c>
      <c r="F30" s="172">
        <f t="shared" si="13"/>
        <v>26068706.73</v>
      </c>
      <c r="G30" s="172">
        <f t="shared" si="13"/>
        <v>16032951.75</v>
      </c>
      <c r="H30" s="172">
        <f t="shared" si="13"/>
        <v>4242173</v>
      </c>
      <c r="I30" s="172">
        <f t="shared" si="13"/>
        <v>4336074.72</v>
      </c>
      <c r="J30" s="172">
        <f t="shared" si="13"/>
        <v>1917510.28</v>
      </c>
      <c r="K30" s="172">
        <f t="shared" si="13"/>
        <v>5537193.75</v>
      </c>
      <c r="L30" s="172">
        <f t="shared" si="13"/>
        <v>76662529.789999992</v>
      </c>
      <c r="M30" s="172">
        <f t="shared" si="13"/>
        <v>15313465.890000001</v>
      </c>
      <c r="N30" s="172">
        <f t="shared" si="13"/>
        <v>1202793</v>
      </c>
      <c r="O30" s="172">
        <f t="shared" si="13"/>
        <v>3290274.6799999997</v>
      </c>
      <c r="P30" s="172">
        <f t="shared" si="13"/>
        <v>1554380</v>
      </c>
      <c r="Q30" s="172">
        <f t="shared" si="13"/>
        <v>3111420.71</v>
      </c>
      <c r="R30" s="172">
        <f t="shared" si="13"/>
        <v>1094050</v>
      </c>
      <c r="S30" s="172">
        <f t="shared" si="13"/>
        <v>325732.90000000002</v>
      </c>
      <c r="T30" s="172">
        <f>SUM(T10:T29)</f>
        <v>1462925.9</v>
      </c>
      <c r="U30" s="172">
        <f t="shared" si="13"/>
        <v>7039454</v>
      </c>
      <c r="V30" s="172">
        <f t="shared" si="13"/>
        <v>4436776</v>
      </c>
      <c r="W30" s="172">
        <f t="shared" si="13"/>
        <v>7201728</v>
      </c>
      <c r="X30" s="172">
        <f t="shared" si="13"/>
        <v>97660240.790000007</v>
      </c>
      <c r="Y30" s="130"/>
      <c r="Z30" s="116"/>
      <c r="AA30" s="116"/>
      <c r="AB30" s="116"/>
    </row>
    <row r="31" spans="1:28" ht="18.5" x14ac:dyDescent="0.45">
      <c r="A31" s="159" t="s">
        <v>87</v>
      </c>
      <c r="B31" s="160"/>
      <c r="C31" s="164"/>
      <c r="D31" s="133"/>
      <c r="E31" s="133">
        <v>0</v>
      </c>
      <c r="F31" s="133">
        <f>F6-F30</f>
        <v>19718528.27</v>
      </c>
      <c r="G31" s="133"/>
      <c r="H31" s="133"/>
      <c r="I31" s="133"/>
      <c r="J31" s="133"/>
      <c r="K31" s="133"/>
      <c r="L31" s="133"/>
      <c r="M31" s="133"/>
      <c r="N31" s="133"/>
      <c r="O31" s="133"/>
      <c r="P31" s="133"/>
      <c r="Q31" s="133"/>
      <c r="R31" s="133"/>
      <c r="S31" s="133"/>
      <c r="T31" s="133"/>
      <c r="U31" s="133"/>
      <c r="V31" s="133"/>
      <c r="W31" s="133"/>
      <c r="X31" s="172"/>
      <c r="Y31" s="130"/>
    </row>
    <row r="32" spans="1:28" ht="18.5" x14ac:dyDescent="0.45">
      <c r="A32" s="159"/>
      <c r="B32" s="160"/>
      <c r="C32" s="164"/>
      <c r="D32" s="133"/>
      <c r="E32" s="133"/>
      <c r="F32" s="133"/>
      <c r="G32" s="133"/>
      <c r="H32" s="133"/>
      <c r="I32" s="133"/>
      <c r="J32" s="133"/>
      <c r="K32" s="133"/>
      <c r="L32" s="133"/>
      <c r="M32" s="133"/>
      <c r="N32" s="133"/>
      <c r="O32" s="133"/>
      <c r="P32" s="133"/>
      <c r="Q32" s="133"/>
      <c r="R32" s="133"/>
      <c r="S32" s="133"/>
      <c r="T32" s="133"/>
      <c r="U32" s="133"/>
      <c r="V32" s="133"/>
      <c r="W32" s="133"/>
      <c r="X32" s="172"/>
      <c r="Y32" s="130">
        <f>8875850+3198000</f>
        <v>12073850</v>
      </c>
    </row>
    <row r="33" spans="1:28" ht="55.5" x14ac:dyDescent="0.45">
      <c r="A33" s="118" t="s">
        <v>62</v>
      </c>
      <c r="B33" s="119"/>
      <c r="C33" s="120"/>
      <c r="D33" s="121" t="s">
        <v>80</v>
      </c>
      <c r="E33" s="122"/>
      <c r="F33" s="122"/>
      <c r="G33" s="122"/>
      <c r="H33" s="122"/>
      <c r="I33" s="122"/>
      <c r="J33" s="122"/>
      <c r="K33" s="122"/>
      <c r="L33" s="122"/>
      <c r="M33" s="122"/>
      <c r="N33" s="122"/>
      <c r="O33" s="122"/>
      <c r="P33" s="122"/>
      <c r="Q33" s="122"/>
      <c r="R33" s="122"/>
      <c r="S33" s="122"/>
      <c r="T33" s="122"/>
      <c r="U33" s="122"/>
      <c r="V33" s="122"/>
      <c r="W33" s="122"/>
      <c r="X33" s="122"/>
      <c r="Y33" s="122"/>
    </row>
    <row r="34" spans="1:28" ht="18.5" x14ac:dyDescent="0.45">
      <c r="A34" s="32" t="s">
        <v>81</v>
      </c>
      <c r="B34" s="50"/>
      <c r="C34" s="123"/>
      <c r="D34" s="124"/>
      <c r="E34" s="125"/>
      <c r="F34" s="125"/>
      <c r="G34" s="126">
        <v>10348178</v>
      </c>
      <c r="H34" s="126">
        <f>G34+G6</f>
        <v>18269116</v>
      </c>
      <c r="I34" s="126"/>
      <c r="J34" s="126"/>
      <c r="K34" s="126"/>
      <c r="L34" s="126"/>
      <c r="M34" s="126">
        <v>8494566</v>
      </c>
      <c r="N34" s="126"/>
      <c r="O34" s="126"/>
      <c r="P34" s="126"/>
      <c r="Q34" s="126"/>
      <c r="R34" s="126"/>
      <c r="S34" s="126"/>
      <c r="T34" s="126"/>
      <c r="U34" s="126"/>
      <c r="V34" s="126">
        <v>4244678</v>
      </c>
      <c r="W34" s="126">
        <v>20192577</v>
      </c>
      <c r="X34" s="173">
        <f>SUM(G34:W34)</f>
        <v>61549115</v>
      </c>
      <c r="Y34" s="125"/>
    </row>
    <row r="35" spans="1:28" ht="37" x14ac:dyDescent="0.45">
      <c r="A35" s="127" t="s">
        <v>91</v>
      </c>
      <c r="B35" s="128">
        <v>24700000</v>
      </c>
      <c r="C35" s="129">
        <f>D35/B35*100</f>
        <v>40.48582995951417</v>
      </c>
      <c r="D35" s="130">
        <v>10000000</v>
      </c>
      <c r="E35" s="130"/>
      <c r="F35" s="130"/>
      <c r="G35" s="130">
        <f t="shared" ref="G35:G51" si="14">SUM(H35:K35)</f>
        <v>480269.06000000006</v>
      </c>
      <c r="H35" s="130">
        <v>0</v>
      </c>
      <c r="I35" s="130">
        <v>0</v>
      </c>
      <c r="J35" s="130">
        <v>177735.67</v>
      </c>
      <c r="K35" s="125">
        <v>302533.39</v>
      </c>
      <c r="L35" s="130">
        <f>G35+O35+Q35+T35</f>
        <v>715141.65</v>
      </c>
      <c r="M35" s="130">
        <f>1800000*0.4</f>
        <v>720000</v>
      </c>
      <c r="N35" s="130">
        <f>125000*0.41</f>
        <v>51250</v>
      </c>
      <c r="O35" s="130">
        <v>80831.5</v>
      </c>
      <c r="P35" s="130">
        <f>80000*0.4</f>
        <v>32000</v>
      </c>
      <c r="Q35" s="130">
        <v>87509.24</v>
      </c>
      <c r="R35" s="130">
        <f>727000*0.4</f>
        <v>290800</v>
      </c>
      <c r="S35" s="130"/>
      <c r="T35" s="209">
        <v>66531.850000000006</v>
      </c>
      <c r="U35" s="130">
        <v>50000</v>
      </c>
      <c r="V35" s="130">
        <v>5195000</v>
      </c>
      <c r="W35" s="130">
        <f>10000000-6290269-105000</f>
        <v>3604731</v>
      </c>
      <c r="X35" s="130">
        <f t="shared" ref="X35:X41" si="15">G35+M35+V35+W35</f>
        <v>10000000.060000001</v>
      </c>
      <c r="Y35" s="130" t="s">
        <v>234</v>
      </c>
      <c r="AA35" s="116"/>
      <c r="AB35" s="116"/>
    </row>
    <row r="36" spans="1:28" ht="18.5" x14ac:dyDescent="0.45">
      <c r="A36" s="131" t="s">
        <v>65</v>
      </c>
      <c r="B36" s="130">
        <v>10900000</v>
      </c>
      <c r="C36" s="129">
        <f>D36/B36*100</f>
        <v>34.862385321100916</v>
      </c>
      <c r="D36" s="130">
        <v>3800000</v>
      </c>
      <c r="E36" s="130">
        <v>0</v>
      </c>
      <c r="F36" s="130">
        <v>0</v>
      </c>
      <c r="G36" s="130">
        <f t="shared" si="14"/>
        <v>220000</v>
      </c>
      <c r="H36" s="130"/>
      <c r="I36" s="130"/>
      <c r="J36" s="130">
        <v>160000</v>
      </c>
      <c r="K36" s="125">
        <v>60000</v>
      </c>
      <c r="L36" s="130">
        <f t="shared" ref="L36:L51" si="16">G36+O36+Q36+T36</f>
        <v>337540.01</v>
      </c>
      <c r="M36" s="130">
        <v>997500</v>
      </c>
      <c r="N36" s="130"/>
      <c r="O36" s="130">
        <v>0</v>
      </c>
      <c r="P36" s="130">
        <v>50000</v>
      </c>
      <c r="Q36" s="130">
        <v>73084.44</v>
      </c>
      <c r="R36" s="130">
        <v>200000</v>
      </c>
      <c r="S36" s="130"/>
      <c r="T36" s="130">
        <v>44455.57</v>
      </c>
      <c r="U36" s="130">
        <v>100000</v>
      </c>
      <c r="V36" s="130">
        <f>4933000*0.348</f>
        <v>1716683.9999999998</v>
      </c>
      <c r="W36" s="130">
        <f>3800000-V36-M36-K36-J36</f>
        <v>865816.00000000023</v>
      </c>
      <c r="X36" s="130">
        <f t="shared" si="15"/>
        <v>3800000</v>
      </c>
      <c r="Y36" s="130" t="s">
        <v>233</v>
      </c>
      <c r="AA36" s="116"/>
      <c r="AB36" s="116"/>
    </row>
    <row r="37" spans="1:28" ht="18.5" x14ac:dyDescent="0.45">
      <c r="A37" s="131" t="s">
        <v>69</v>
      </c>
      <c r="B37" s="130">
        <v>5427000</v>
      </c>
      <c r="C37" s="129">
        <f t="shared" ref="C37:C51" si="17">D37/B37*100</f>
        <v>67.495854063018243</v>
      </c>
      <c r="D37" s="130">
        <f>3700000*0.99</f>
        <v>3663000</v>
      </c>
      <c r="E37" s="130"/>
      <c r="F37" s="130"/>
      <c r="G37" s="130">
        <f t="shared" si="14"/>
        <v>0</v>
      </c>
      <c r="H37" s="130"/>
      <c r="I37" s="130"/>
      <c r="J37" s="130"/>
      <c r="K37" s="125">
        <v>0</v>
      </c>
      <c r="L37" s="130">
        <f t="shared" si="16"/>
        <v>157928</v>
      </c>
      <c r="M37" s="130">
        <f>486099*0.675</f>
        <v>328116.82500000001</v>
      </c>
      <c r="N37" s="130">
        <f>180000*0.675</f>
        <v>121500.00000000001</v>
      </c>
      <c r="O37" s="130">
        <v>0</v>
      </c>
      <c r="P37" s="130">
        <v>67000</v>
      </c>
      <c r="Q37" s="130">
        <v>118715</v>
      </c>
      <c r="R37" s="130">
        <v>70000</v>
      </c>
      <c r="S37" s="130"/>
      <c r="T37" s="209">
        <v>39213</v>
      </c>
      <c r="U37" s="130">
        <f t="shared" ref="U37" si="18">M37-SUM(O37:R37)</f>
        <v>72401.825000000012</v>
      </c>
      <c r="V37" s="130">
        <f>2692191*0.675</f>
        <v>1817228.925</v>
      </c>
      <c r="W37" s="130">
        <f>3663000-2145346</f>
        <v>1517654</v>
      </c>
      <c r="X37" s="130">
        <f t="shared" si="15"/>
        <v>3662999.75</v>
      </c>
      <c r="Y37" s="130" t="s">
        <v>253</v>
      </c>
      <c r="AA37" s="116"/>
      <c r="AB37" s="116"/>
    </row>
    <row r="38" spans="1:28" ht="18.5" x14ac:dyDescent="0.45">
      <c r="A38" s="131" t="s">
        <v>66</v>
      </c>
      <c r="B38" s="130">
        <v>13500000</v>
      </c>
      <c r="C38" s="129">
        <f t="shared" si="17"/>
        <v>51.111111111111107</v>
      </c>
      <c r="D38" s="130">
        <v>6900000</v>
      </c>
      <c r="E38" s="130"/>
      <c r="F38" s="130"/>
      <c r="G38" s="130">
        <f t="shared" si="14"/>
        <v>1510255</v>
      </c>
      <c r="H38" s="130"/>
      <c r="I38" s="130"/>
      <c r="J38" s="130"/>
      <c r="K38" s="125">
        <v>1510255</v>
      </c>
      <c r="L38" s="130">
        <f t="shared" si="16"/>
        <v>2855645.16</v>
      </c>
      <c r="M38" s="130">
        <f>(6674000+135000)*0.52</f>
        <v>3540680</v>
      </c>
      <c r="N38" s="130">
        <v>70200</v>
      </c>
      <c r="O38" s="130">
        <v>68865.16</v>
      </c>
      <c r="P38" s="130">
        <v>800000</v>
      </c>
      <c r="Q38" s="130">
        <v>285123</v>
      </c>
      <c r="R38" s="130">
        <v>900000</v>
      </c>
      <c r="S38" s="130"/>
      <c r="T38" s="125">
        <v>991402</v>
      </c>
      <c r="U38" s="130">
        <v>900000</v>
      </c>
      <c r="V38" s="130">
        <f>6900000-5050935</f>
        <v>1849065</v>
      </c>
      <c r="W38" s="130">
        <v>0</v>
      </c>
      <c r="X38" s="130">
        <f t="shared" si="15"/>
        <v>6900000</v>
      </c>
      <c r="Y38" s="130" t="s">
        <v>188</v>
      </c>
      <c r="AA38" s="116"/>
      <c r="AB38" s="116"/>
    </row>
    <row r="39" spans="1:28" ht="18.5" x14ac:dyDescent="0.45">
      <c r="A39" s="131" t="s">
        <v>68</v>
      </c>
      <c r="B39" s="130">
        <v>6465000</v>
      </c>
      <c r="C39" s="129">
        <f t="shared" si="17"/>
        <v>66.51198762567671</v>
      </c>
      <c r="D39" s="130">
        <v>4300000</v>
      </c>
      <c r="E39" s="130"/>
      <c r="F39" s="130"/>
      <c r="G39" s="130">
        <f t="shared" si="14"/>
        <v>0</v>
      </c>
      <c r="H39" s="130"/>
      <c r="I39" s="130"/>
      <c r="J39" s="130"/>
      <c r="K39" s="130"/>
      <c r="L39" s="130">
        <f t="shared" si="16"/>
        <v>0</v>
      </c>
      <c r="M39" s="130">
        <v>0</v>
      </c>
      <c r="N39" s="130"/>
      <c r="O39" s="130">
        <v>0</v>
      </c>
      <c r="P39" s="130">
        <v>0</v>
      </c>
      <c r="Q39" s="130"/>
      <c r="R39" s="130">
        <v>0</v>
      </c>
      <c r="S39" s="130"/>
      <c r="T39" s="130">
        <v>0</v>
      </c>
      <c r="U39" s="130">
        <v>0</v>
      </c>
      <c r="V39" s="130">
        <v>500000</v>
      </c>
      <c r="W39" s="130">
        <f>3800000</f>
        <v>3800000</v>
      </c>
      <c r="X39" s="130">
        <f t="shared" si="15"/>
        <v>4300000</v>
      </c>
      <c r="Y39" s="130" t="s">
        <v>236</v>
      </c>
      <c r="AA39" s="116"/>
      <c r="AB39" s="116"/>
    </row>
    <row r="40" spans="1:28" ht="18.5" x14ac:dyDescent="0.45">
      <c r="A40" s="131" t="s">
        <v>63</v>
      </c>
      <c r="B40" s="130">
        <v>5000000</v>
      </c>
      <c r="C40" s="129">
        <f t="shared" si="17"/>
        <v>100</v>
      </c>
      <c r="D40" s="130">
        <v>5000000</v>
      </c>
      <c r="E40" s="130"/>
      <c r="F40" s="130"/>
      <c r="G40" s="130">
        <f t="shared" si="14"/>
        <v>0</v>
      </c>
      <c r="H40" s="130"/>
      <c r="I40" s="130"/>
      <c r="J40" s="130"/>
      <c r="K40" s="130"/>
      <c r="L40" s="130">
        <f t="shared" si="16"/>
        <v>0</v>
      </c>
      <c r="M40" s="130">
        <v>0</v>
      </c>
      <c r="N40" s="130"/>
      <c r="O40" s="130">
        <v>0</v>
      </c>
      <c r="P40" s="130">
        <v>0</v>
      </c>
      <c r="Q40" s="130"/>
      <c r="R40" s="130"/>
      <c r="S40" s="130"/>
      <c r="T40" s="130">
        <v>0</v>
      </c>
      <c r="U40" s="130">
        <v>0</v>
      </c>
      <c r="V40" s="130">
        <v>2500000</v>
      </c>
      <c r="W40" s="130">
        <v>2500000</v>
      </c>
      <c r="X40" s="130">
        <f>G40+M40+V40+W40</f>
        <v>5000000</v>
      </c>
      <c r="Y40" s="130" t="s">
        <v>278</v>
      </c>
      <c r="AA40" s="116"/>
      <c r="AB40" s="116"/>
    </row>
    <row r="41" spans="1:28" ht="18.5" x14ac:dyDescent="0.45">
      <c r="A41" s="131" t="s">
        <v>64</v>
      </c>
      <c r="B41" s="130">
        <v>4151070</v>
      </c>
      <c r="C41" s="129">
        <f t="shared" si="17"/>
        <v>100</v>
      </c>
      <c r="D41" s="130">
        <f>4193000*0.99</f>
        <v>4151070</v>
      </c>
      <c r="E41" s="130"/>
      <c r="F41" s="130"/>
      <c r="G41" s="130">
        <f t="shared" si="14"/>
        <v>0</v>
      </c>
      <c r="H41" s="130"/>
      <c r="I41" s="130"/>
      <c r="J41" s="130"/>
      <c r="K41" s="130"/>
      <c r="L41" s="130">
        <f t="shared" si="16"/>
        <v>0</v>
      </c>
      <c r="M41" s="130">
        <v>0</v>
      </c>
      <c r="N41" s="130"/>
      <c r="O41" s="130">
        <v>0</v>
      </c>
      <c r="P41" s="130">
        <v>0</v>
      </c>
      <c r="Q41" s="130"/>
      <c r="R41" s="130"/>
      <c r="S41" s="130"/>
      <c r="T41" s="130">
        <v>0</v>
      </c>
      <c r="U41" s="130">
        <v>0</v>
      </c>
      <c r="V41" s="130">
        <v>2000000</v>
      </c>
      <c r="W41" s="130">
        <v>2151070</v>
      </c>
      <c r="X41" s="130">
        <f t="shared" si="15"/>
        <v>4151070</v>
      </c>
      <c r="Y41" s="130" t="s">
        <v>278</v>
      </c>
      <c r="AA41" s="116"/>
      <c r="AB41" s="116"/>
    </row>
    <row r="42" spans="1:28" ht="18.5" x14ac:dyDescent="0.45">
      <c r="A42" s="131" t="s">
        <v>67</v>
      </c>
      <c r="B42" s="130"/>
      <c r="C42" s="129"/>
      <c r="D42" s="130"/>
      <c r="E42" s="130"/>
      <c r="F42" s="130"/>
      <c r="G42" s="130">
        <f t="shared" si="14"/>
        <v>0</v>
      </c>
      <c r="H42" s="130"/>
      <c r="I42" s="130"/>
      <c r="J42" s="130"/>
      <c r="K42" s="130"/>
      <c r="L42" s="130">
        <f t="shared" si="16"/>
        <v>0</v>
      </c>
      <c r="M42" s="130">
        <v>0</v>
      </c>
      <c r="N42" s="130"/>
      <c r="O42" s="130">
        <v>0</v>
      </c>
      <c r="P42" s="130">
        <v>100000</v>
      </c>
      <c r="Q42" s="130"/>
      <c r="R42" s="130">
        <v>0</v>
      </c>
      <c r="S42" s="130"/>
      <c r="T42" s="130">
        <v>0</v>
      </c>
      <c r="U42" s="130">
        <v>0</v>
      </c>
      <c r="V42" s="130">
        <v>0</v>
      </c>
      <c r="W42" s="130">
        <v>0</v>
      </c>
      <c r="X42" s="130">
        <f>G42+M42+V42+W42</f>
        <v>0</v>
      </c>
      <c r="Y42" s="130"/>
      <c r="AA42" s="116"/>
      <c r="AB42" s="116"/>
    </row>
    <row r="43" spans="1:28" ht="18.5" x14ac:dyDescent="0.45">
      <c r="A43" s="198" t="s">
        <v>264</v>
      </c>
      <c r="B43" s="131">
        <v>1000000</v>
      </c>
      <c r="C43" s="129">
        <f t="shared" si="17"/>
        <v>50</v>
      </c>
      <c r="D43" s="130">
        <v>500000</v>
      </c>
      <c r="E43" s="130"/>
      <c r="F43" s="130"/>
      <c r="G43" s="130"/>
      <c r="H43" s="130"/>
      <c r="I43" s="130"/>
      <c r="J43" s="130"/>
      <c r="K43" s="130"/>
      <c r="L43" s="130">
        <f t="shared" si="16"/>
        <v>0</v>
      </c>
      <c r="M43" s="130"/>
      <c r="N43" s="130"/>
      <c r="O43" s="130"/>
      <c r="P43" s="130"/>
      <c r="Q43" s="130"/>
      <c r="R43" s="130">
        <v>0</v>
      </c>
      <c r="S43" s="130"/>
      <c r="T43" s="130">
        <v>0</v>
      </c>
      <c r="U43" s="130">
        <v>15000</v>
      </c>
      <c r="V43" s="130">
        <v>0</v>
      </c>
      <c r="W43" s="162">
        <v>500000</v>
      </c>
      <c r="X43" s="130">
        <f t="shared" ref="X43:X51" si="19">G43+M43+V43+W43</f>
        <v>500000</v>
      </c>
      <c r="Y43" s="130" t="s">
        <v>277</v>
      </c>
      <c r="AA43" s="116"/>
      <c r="AB43" s="116"/>
    </row>
    <row r="44" spans="1:28" ht="18.5" x14ac:dyDescent="0.45">
      <c r="A44" s="198" t="s">
        <v>265</v>
      </c>
      <c r="B44" s="131">
        <v>900000</v>
      </c>
      <c r="C44" s="129">
        <f t="shared" si="17"/>
        <v>66.666666666666657</v>
      </c>
      <c r="D44" s="130">
        <v>600000</v>
      </c>
      <c r="E44" s="130"/>
      <c r="F44" s="130"/>
      <c r="G44" s="130"/>
      <c r="H44" s="130"/>
      <c r="I44" s="130"/>
      <c r="J44" s="130"/>
      <c r="K44" s="130"/>
      <c r="L44" s="130">
        <f t="shared" si="16"/>
        <v>0</v>
      </c>
      <c r="M44" s="130"/>
      <c r="N44" s="130"/>
      <c r="O44" s="130"/>
      <c r="P44" s="130"/>
      <c r="Q44" s="130"/>
      <c r="R44" s="130"/>
      <c r="S44" s="130"/>
      <c r="T44" s="130">
        <v>0</v>
      </c>
      <c r="U44" s="130"/>
      <c r="V44" s="130">
        <v>200000</v>
      </c>
      <c r="W44" s="162">
        <v>400000</v>
      </c>
      <c r="X44" s="130">
        <f t="shared" si="19"/>
        <v>600000</v>
      </c>
      <c r="Y44" s="130" t="s">
        <v>237</v>
      </c>
      <c r="AA44" s="116"/>
      <c r="AB44" s="116"/>
    </row>
    <row r="45" spans="1:28" ht="18.5" x14ac:dyDescent="0.45">
      <c r="A45" s="198" t="s">
        <v>266</v>
      </c>
      <c r="B45" s="131">
        <v>900000</v>
      </c>
      <c r="C45" s="129">
        <f t="shared" si="17"/>
        <v>66.666666666666657</v>
      </c>
      <c r="D45" s="130">
        <v>600000</v>
      </c>
      <c r="E45" s="130"/>
      <c r="F45" s="130"/>
      <c r="G45" s="130"/>
      <c r="H45" s="130"/>
      <c r="I45" s="130"/>
      <c r="J45" s="130"/>
      <c r="K45" s="130"/>
      <c r="L45" s="130">
        <f t="shared" si="16"/>
        <v>0</v>
      </c>
      <c r="M45" s="130"/>
      <c r="N45" s="130"/>
      <c r="O45" s="130"/>
      <c r="P45" s="130"/>
      <c r="Q45" s="130"/>
      <c r="R45" s="130"/>
      <c r="S45" s="130"/>
      <c r="T45" s="130">
        <v>0</v>
      </c>
      <c r="U45" s="130"/>
      <c r="V45" s="130">
        <v>0</v>
      </c>
      <c r="W45" s="162">
        <v>600000</v>
      </c>
      <c r="X45" s="130">
        <f t="shared" si="19"/>
        <v>600000</v>
      </c>
      <c r="Y45" s="130" t="s">
        <v>276</v>
      </c>
      <c r="AA45" s="116"/>
      <c r="AB45" s="116"/>
    </row>
    <row r="46" spans="1:28" ht="18.5" x14ac:dyDescent="0.45">
      <c r="A46" s="198" t="s">
        <v>267</v>
      </c>
      <c r="B46" s="131">
        <v>1300000</v>
      </c>
      <c r="C46" s="129">
        <f t="shared" si="17"/>
        <v>38.461538461538467</v>
      </c>
      <c r="D46" s="130">
        <v>500000</v>
      </c>
      <c r="E46" s="130"/>
      <c r="F46" s="130"/>
      <c r="G46" s="130"/>
      <c r="H46" s="130"/>
      <c r="I46" s="130"/>
      <c r="J46" s="130"/>
      <c r="K46" s="130"/>
      <c r="L46" s="130">
        <f t="shared" si="16"/>
        <v>0</v>
      </c>
      <c r="M46" s="130"/>
      <c r="N46" s="130"/>
      <c r="O46" s="130"/>
      <c r="P46" s="130"/>
      <c r="Q46" s="130"/>
      <c r="R46" s="130"/>
      <c r="S46" s="130"/>
      <c r="T46" s="130">
        <v>0</v>
      </c>
      <c r="U46" s="130"/>
      <c r="V46" s="130">
        <v>0</v>
      </c>
      <c r="W46" s="162">
        <v>500000</v>
      </c>
      <c r="X46" s="130">
        <f t="shared" si="19"/>
        <v>500000</v>
      </c>
      <c r="Y46" s="130" t="s">
        <v>274</v>
      </c>
      <c r="AA46" s="116"/>
      <c r="AB46" s="116"/>
    </row>
    <row r="47" spans="1:28" ht="18.5" x14ac:dyDescent="0.45">
      <c r="A47" s="198" t="s">
        <v>268</v>
      </c>
      <c r="B47" s="131">
        <v>2145000</v>
      </c>
      <c r="C47" s="129">
        <f t="shared" si="17"/>
        <v>51.282051282051277</v>
      </c>
      <c r="D47" s="130">
        <v>1100000</v>
      </c>
      <c r="E47" s="130"/>
      <c r="F47" s="130"/>
      <c r="G47" s="130"/>
      <c r="H47" s="130"/>
      <c r="I47" s="130"/>
      <c r="J47" s="130"/>
      <c r="K47" s="130"/>
      <c r="L47" s="130">
        <f t="shared" si="16"/>
        <v>0</v>
      </c>
      <c r="M47" s="130"/>
      <c r="N47" s="130"/>
      <c r="O47" s="130"/>
      <c r="P47" s="130"/>
      <c r="Q47" s="130"/>
      <c r="R47" s="130"/>
      <c r="S47" s="130"/>
      <c r="T47" s="130">
        <v>0</v>
      </c>
      <c r="U47" s="130"/>
      <c r="V47" s="130">
        <v>1100000</v>
      </c>
      <c r="W47" s="162"/>
      <c r="X47" s="130">
        <f t="shared" si="19"/>
        <v>1100000</v>
      </c>
      <c r="Y47" s="130" t="s">
        <v>274</v>
      </c>
      <c r="AA47" s="116"/>
      <c r="AB47" s="116"/>
    </row>
    <row r="48" spans="1:28" ht="18.5" x14ac:dyDescent="0.45">
      <c r="A48" s="198" t="s">
        <v>269</v>
      </c>
      <c r="B48" s="131">
        <v>602000</v>
      </c>
      <c r="C48" s="129">
        <f t="shared" si="17"/>
        <v>63.122923588039868</v>
      </c>
      <c r="D48" s="130">
        <v>380000</v>
      </c>
      <c r="E48" s="130"/>
      <c r="F48" s="130"/>
      <c r="G48" s="130"/>
      <c r="H48" s="130"/>
      <c r="I48" s="130"/>
      <c r="J48" s="130"/>
      <c r="K48" s="130"/>
      <c r="L48" s="130">
        <f t="shared" si="16"/>
        <v>0</v>
      </c>
      <c r="M48" s="130"/>
      <c r="N48" s="130"/>
      <c r="O48" s="130"/>
      <c r="P48" s="130"/>
      <c r="Q48" s="130"/>
      <c r="R48" s="130"/>
      <c r="S48" s="130"/>
      <c r="T48" s="130">
        <v>0</v>
      </c>
      <c r="U48" s="130"/>
      <c r="V48" s="130">
        <v>100000</v>
      </c>
      <c r="W48" s="162">
        <v>280000</v>
      </c>
      <c r="X48" s="130">
        <f t="shared" si="19"/>
        <v>380000</v>
      </c>
      <c r="Y48" s="130" t="s">
        <v>275</v>
      </c>
      <c r="AA48" s="116"/>
      <c r="AB48" s="116"/>
    </row>
    <row r="49" spans="1:28" ht="18.5" x14ac:dyDescent="0.45">
      <c r="A49" s="198" t="s">
        <v>270</v>
      </c>
      <c r="B49" s="131">
        <v>4379000</v>
      </c>
      <c r="C49" s="129">
        <f t="shared" si="17"/>
        <v>15.52865951130395</v>
      </c>
      <c r="D49" s="130">
        <v>680000</v>
      </c>
      <c r="E49" s="130"/>
      <c r="F49" s="130"/>
      <c r="G49" s="130"/>
      <c r="H49" s="130"/>
      <c r="I49" s="130"/>
      <c r="J49" s="130"/>
      <c r="K49" s="130"/>
      <c r="L49" s="130">
        <f t="shared" si="16"/>
        <v>0</v>
      </c>
      <c r="M49" s="130"/>
      <c r="N49" s="130"/>
      <c r="O49" s="130"/>
      <c r="P49" s="130"/>
      <c r="Q49" s="130"/>
      <c r="R49" s="130"/>
      <c r="S49" s="130"/>
      <c r="T49" s="130">
        <v>0</v>
      </c>
      <c r="U49" s="130"/>
      <c r="V49" s="130">
        <v>200000</v>
      </c>
      <c r="W49" s="162">
        <v>480000</v>
      </c>
      <c r="X49" s="130">
        <f t="shared" si="19"/>
        <v>680000</v>
      </c>
      <c r="Y49" s="130" t="s">
        <v>275</v>
      </c>
      <c r="AA49" s="116"/>
      <c r="AB49" s="116"/>
    </row>
    <row r="50" spans="1:28" ht="18.5" x14ac:dyDescent="0.45">
      <c r="A50" s="198" t="s">
        <v>271</v>
      </c>
      <c r="B50" s="131">
        <v>1024000</v>
      </c>
      <c r="C50" s="129">
        <f t="shared" si="17"/>
        <v>62.5</v>
      </c>
      <c r="D50" s="130">
        <v>640000</v>
      </c>
      <c r="E50" s="130"/>
      <c r="F50" s="130"/>
      <c r="G50" s="130"/>
      <c r="H50" s="130"/>
      <c r="I50" s="130"/>
      <c r="J50" s="130"/>
      <c r="K50" s="130"/>
      <c r="L50" s="130">
        <f t="shared" si="16"/>
        <v>0</v>
      </c>
      <c r="M50" s="130"/>
      <c r="N50" s="130"/>
      <c r="O50" s="130"/>
      <c r="P50" s="130"/>
      <c r="Q50" s="130"/>
      <c r="R50" s="130"/>
      <c r="S50" s="130"/>
      <c r="T50" s="130">
        <v>0</v>
      </c>
      <c r="U50" s="130"/>
      <c r="V50" s="130">
        <v>200000</v>
      </c>
      <c r="W50" s="162">
        <v>440000</v>
      </c>
      <c r="X50" s="130">
        <f t="shared" si="19"/>
        <v>640000</v>
      </c>
      <c r="Y50" s="130" t="s">
        <v>275</v>
      </c>
      <c r="AA50" s="116"/>
      <c r="AB50" s="116"/>
    </row>
    <row r="51" spans="1:28" ht="18.5" x14ac:dyDescent="0.45">
      <c r="A51" s="131" t="s">
        <v>249</v>
      </c>
      <c r="B51" s="130">
        <v>200000</v>
      </c>
      <c r="C51" s="129">
        <f t="shared" si="17"/>
        <v>12.5</v>
      </c>
      <c r="D51" s="130">
        <v>25000</v>
      </c>
      <c r="E51" s="130"/>
      <c r="F51" s="130"/>
      <c r="G51" s="130">
        <f t="shared" si="14"/>
        <v>0</v>
      </c>
      <c r="H51" s="130"/>
      <c r="I51" s="130"/>
      <c r="J51" s="130"/>
      <c r="K51" s="130"/>
      <c r="L51" s="130">
        <f t="shared" si="16"/>
        <v>13275.05</v>
      </c>
      <c r="M51" s="130">
        <v>25000</v>
      </c>
      <c r="N51" s="130"/>
      <c r="O51" s="130">
        <v>0</v>
      </c>
      <c r="P51" s="130"/>
      <c r="Q51" s="130">
        <v>10585.66</v>
      </c>
      <c r="R51" s="130"/>
      <c r="S51" s="130"/>
      <c r="T51" s="130">
        <v>2689.39</v>
      </c>
      <c r="U51" s="130">
        <f>25000-10586</f>
        <v>14414</v>
      </c>
      <c r="V51" s="130">
        <v>0</v>
      </c>
      <c r="W51" s="162">
        <v>0</v>
      </c>
      <c r="X51" s="130">
        <f t="shared" si="19"/>
        <v>25000</v>
      </c>
      <c r="Y51" s="130"/>
      <c r="AA51" s="116"/>
      <c r="AB51" s="116"/>
    </row>
    <row r="52" spans="1:28" ht="18.5" x14ac:dyDescent="0.45">
      <c r="A52" s="132" t="s">
        <v>70</v>
      </c>
      <c r="B52" s="133">
        <f>SUM(B35:B51)</f>
        <v>82593070</v>
      </c>
      <c r="C52" s="129">
        <f>D52/B52*100</f>
        <v>51.867632478124371</v>
      </c>
      <c r="D52" s="133">
        <f t="shared" ref="D52:X52" si="20">SUM(D35:D51)</f>
        <v>42839070</v>
      </c>
      <c r="E52" s="133">
        <f t="shared" si="20"/>
        <v>0</v>
      </c>
      <c r="F52" s="133">
        <f t="shared" si="20"/>
        <v>0</v>
      </c>
      <c r="G52" s="133">
        <f t="shared" si="20"/>
        <v>2210524.06</v>
      </c>
      <c r="H52" s="133">
        <f t="shared" si="20"/>
        <v>0</v>
      </c>
      <c r="I52" s="133">
        <f t="shared" si="20"/>
        <v>0</v>
      </c>
      <c r="J52" s="133">
        <f t="shared" si="20"/>
        <v>337735.67000000004</v>
      </c>
      <c r="K52" s="133">
        <f t="shared" si="20"/>
        <v>1872788.3900000001</v>
      </c>
      <c r="L52" s="133">
        <f t="shared" si="20"/>
        <v>4079529.87</v>
      </c>
      <c r="M52" s="133">
        <f t="shared" si="20"/>
        <v>5611296.8250000002</v>
      </c>
      <c r="N52" s="133">
        <f t="shared" si="20"/>
        <v>242950</v>
      </c>
      <c r="O52" s="133">
        <f t="shared" si="20"/>
        <v>149696.66</v>
      </c>
      <c r="P52" s="133">
        <f t="shared" si="20"/>
        <v>1049000</v>
      </c>
      <c r="Q52" s="133">
        <f t="shared" si="20"/>
        <v>575017.34</v>
      </c>
      <c r="R52" s="133">
        <f t="shared" si="20"/>
        <v>1460800</v>
      </c>
      <c r="S52" s="133">
        <f t="shared" si="20"/>
        <v>0</v>
      </c>
      <c r="T52" s="133">
        <f t="shared" si="20"/>
        <v>1144291.8099999998</v>
      </c>
      <c r="U52" s="133">
        <f t="shared" si="20"/>
        <v>1151815.825</v>
      </c>
      <c r="V52" s="133">
        <f t="shared" si="20"/>
        <v>17377977.925000001</v>
      </c>
      <c r="W52" s="133">
        <f t="shared" si="20"/>
        <v>17639271</v>
      </c>
      <c r="X52" s="133">
        <f t="shared" si="20"/>
        <v>42839069.810000002</v>
      </c>
      <c r="Y52" s="130"/>
      <c r="AA52" s="116"/>
      <c r="AB52" s="116"/>
    </row>
    <row r="53" spans="1:28" ht="18.5" x14ac:dyDescent="0.45">
      <c r="A53" s="132" t="s">
        <v>82</v>
      </c>
      <c r="B53" s="133"/>
      <c r="C53" s="134"/>
      <c r="D53" s="133"/>
      <c r="E53" s="133"/>
      <c r="F53" s="133"/>
      <c r="G53" s="133">
        <f>G34-G52</f>
        <v>8137653.9399999995</v>
      </c>
      <c r="H53" s="133"/>
      <c r="I53" s="133"/>
      <c r="J53" s="133"/>
      <c r="K53" s="133"/>
      <c r="L53" s="133"/>
      <c r="M53" s="133"/>
      <c r="N53" s="133"/>
      <c r="O53" s="133"/>
      <c r="P53" s="133"/>
      <c r="Q53" s="133"/>
      <c r="R53" s="133"/>
      <c r="S53" s="133"/>
      <c r="T53" s="133"/>
      <c r="U53" s="133"/>
      <c r="V53" s="133">
        <f>V34-V52</f>
        <v>-13133299.925000001</v>
      </c>
      <c r="W53" s="133">
        <f>W34-W52</f>
        <v>2553306</v>
      </c>
      <c r="X53" s="172"/>
      <c r="Y53" s="130"/>
    </row>
    <row r="54" spans="1:28" s="103" customFormat="1" ht="18.5" x14ac:dyDescent="0.45">
      <c r="A54" s="131"/>
      <c r="B54" s="130"/>
      <c r="C54" s="131"/>
      <c r="D54" s="130"/>
      <c r="E54" s="130"/>
      <c r="F54" s="130"/>
      <c r="G54" s="130"/>
      <c r="H54" s="130"/>
      <c r="I54" s="130"/>
      <c r="J54" s="130"/>
      <c r="K54" s="130"/>
      <c r="L54" s="130"/>
      <c r="M54" s="130"/>
      <c r="N54" s="130"/>
      <c r="O54" s="130"/>
      <c r="P54" s="130"/>
      <c r="Q54" s="130"/>
      <c r="R54" s="130"/>
      <c r="S54" s="130"/>
      <c r="T54" s="130"/>
      <c r="U54" s="130"/>
      <c r="V54" s="130"/>
      <c r="W54" s="130"/>
      <c r="X54" s="162"/>
      <c r="Y54" s="130"/>
    </row>
    <row r="55" spans="1:28" s="103" customFormat="1" ht="18.5" x14ac:dyDescent="0.45">
      <c r="A55" s="131" t="s">
        <v>173</v>
      </c>
      <c r="B55" s="130"/>
      <c r="C55" s="131"/>
      <c r="D55" s="130"/>
      <c r="E55" s="130"/>
      <c r="F55" s="130"/>
      <c r="G55" s="130">
        <f>G34+G6</f>
        <v>18269116</v>
      </c>
      <c r="H55" s="130"/>
      <c r="I55" s="130"/>
      <c r="J55" s="130"/>
      <c r="K55" s="130"/>
      <c r="L55" s="130"/>
      <c r="M55" s="130">
        <f>M34+M6</f>
        <v>16015902</v>
      </c>
      <c r="N55" s="130"/>
      <c r="O55" s="130"/>
      <c r="P55" s="130"/>
      <c r="Q55" s="130"/>
      <c r="R55" s="130"/>
      <c r="S55" s="130"/>
      <c r="T55" s="130"/>
      <c r="U55" s="130"/>
      <c r="V55" s="130">
        <f>V34+V6</f>
        <v>8234770</v>
      </c>
      <c r="W55" s="130">
        <f>W34+W6</f>
        <v>24905206</v>
      </c>
      <c r="X55" s="162"/>
      <c r="Y55" s="130"/>
    </row>
    <row r="56" spans="1:28" s="103" customFormat="1" ht="18.5" x14ac:dyDescent="0.45">
      <c r="A56" s="174" t="s">
        <v>90</v>
      </c>
      <c r="B56" s="175"/>
      <c r="C56" s="174"/>
      <c r="D56" s="175"/>
      <c r="E56" s="175">
        <f>E6+E34</f>
        <v>14520000</v>
      </c>
      <c r="F56" s="175">
        <f>F6+F34</f>
        <v>45787235</v>
      </c>
      <c r="G56" s="175">
        <f>G8+G34</f>
        <v>37987644.269999996</v>
      </c>
      <c r="H56" s="175"/>
      <c r="I56" s="175"/>
      <c r="J56" s="175"/>
      <c r="K56" s="175"/>
      <c r="L56" s="175"/>
      <c r="M56" s="175">
        <f>M8+M34</f>
        <v>35760070.459999993</v>
      </c>
      <c r="N56" s="175"/>
      <c r="O56" s="175"/>
      <c r="P56" s="175"/>
      <c r="Q56" s="175"/>
      <c r="R56" s="175"/>
      <c r="S56" s="175"/>
      <c r="T56" s="175"/>
      <c r="U56" s="175"/>
      <c r="V56" s="175">
        <f>V8+V34</f>
        <v>23070077.744999994</v>
      </c>
      <c r="W56" s="175">
        <f>W8+W34</f>
        <v>26160529.819999993</v>
      </c>
      <c r="X56" s="175">
        <f>X6+X34</f>
        <v>146001345</v>
      </c>
      <c r="Y56" s="175"/>
    </row>
    <row r="57" spans="1:28" s="103" customFormat="1" ht="18.5" x14ac:dyDescent="0.45">
      <c r="A57" s="174" t="s">
        <v>71</v>
      </c>
      <c r="B57" s="175">
        <f>B52+B30</f>
        <v>359625739.87</v>
      </c>
      <c r="C57" s="174"/>
      <c r="D57" s="175">
        <f t="shared" ref="D57:X57" si="21">D52+D30</f>
        <v>139591213</v>
      </c>
      <c r="E57" s="175">
        <f t="shared" si="21"/>
        <v>26819999.52</v>
      </c>
      <c r="F57" s="175">
        <f t="shared" si="21"/>
        <v>26068706.73</v>
      </c>
      <c r="G57" s="175">
        <f t="shared" si="21"/>
        <v>18243475.809999999</v>
      </c>
      <c r="H57" s="175">
        <f t="shared" si="21"/>
        <v>4242173</v>
      </c>
      <c r="I57" s="175">
        <f t="shared" si="21"/>
        <v>4336074.72</v>
      </c>
      <c r="J57" s="175">
        <f t="shared" si="21"/>
        <v>2255245.9500000002</v>
      </c>
      <c r="K57" s="175">
        <f t="shared" si="21"/>
        <v>7409982.1400000006</v>
      </c>
      <c r="L57" s="175">
        <f t="shared" si="21"/>
        <v>80742059.659999996</v>
      </c>
      <c r="M57" s="175">
        <f t="shared" si="21"/>
        <v>20924762.715</v>
      </c>
      <c r="N57" s="175">
        <f t="shared" si="21"/>
        <v>1445743</v>
      </c>
      <c r="O57" s="175">
        <f t="shared" si="21"/>
        <v>3439971.34</v>
      </c>
      <c r="P57" s="175">
        <f t="shared" si="21"/>
        <v>2603380</v>
      </c>
      <c r="Q57" s="175">
        <f t="shared" si="21"/>
        <v>3686438.05</v>
      </c>
      <c r="R57" s="175">
        <f t="shared" si="21"/>
        <v>2554850</v>
      </c>
      <c r="S57" s="175">
        <f t="shared" si="21"/>
        <v>325732.90000000002</v>
      </c>
      <c r="T57" s="175">
        <f t="shared" si="21"/>
        <v>2607217.71</v>
      </c>
      <c r="U57" s="175">
        <f t="shared" si="21"/>
        <v>8191269.8250000002</v>
      </c>
      <c r="V57" s="175">
        <f t="shared" si="21"/>
        <v>21814753.925000001</v>
      </c>
      <c r="W57" s="175">
        <f t="shared" si="21"/>
        <v>24840999</v>
      </c>
      <c r="X57" s="175">
        <f t="shared" si="21"/>
        <v>140499310.60000002</v>
      </c>
      <c r="Y57" s="176"/>
      <c r="AA57" s="177"/>
      <c r="AB57" s="177"/>
    </row>
    <row r="58" spans="1:28" s="103" customFormat="1" ht="18.5" x14ac:dyDescent="0.45">
      <c r="A58" s="132" t="s">
        <v>88</v>
      </c>
      <c r="B58" s="133"/>
      <c r="C58" s="132"/>
      <c r="D58" s="133"/>
      <c r="E58" s="133">
        <f>E56-E57</f>
        <v>-12299999.52</v>
      </c>
      <c r="F58" s="133">
        <f>F56-F57</f>
        <v>19718528.27</v>
      </c>
      <c r="G58" s="133">
        <f>G56-G57</f>
        <v>19744168.459999997</v>
      </c>
      <c r="H58" s="133"/>
      <c r="I58" s="133"/>
      <c r="J58" s="133"/>
      <c r="K58" s="133"/>
      <c r="L58" s="133"/>
      <c r="M58" s="133">
        <f t="shared" ref="M58:W58" si="22">M56-M57</f>
        <v>14835307.744999994</v>
      </c>
      <c r="N58" s="133"/>
      <c r="O58" s="133">
        <f>O57+Q57+T57</f>
        <v>9733627.0999999996</v>
      </c>
      <c r="P58" s="133"/>
      <c r="Q58" s="133"/>
      <c r="R58" s="133"/>
      <c r="S58" s="133"/>
      <c r="T58" s="133"/>
      <c r="U58" s="133">
        <f>R58+U57</f>
        <v>8191269.8250000002</v>
      </c>
      <c r="V58" s="133">
        <f t="shared" si="22"/>
        <v>1255323.8199999928</v>
      </c>
      <c r="W58" s="133">
        <f t="shared" si="22"/>
        <v>1319530.8199999928</v>
      </c>
      <c r="X58" s="172"/>
      <c r="Y58" s="130"/>
    </row>
    <row r="59" spans="1:28" s="103" customFormat="1" ht="18.5" x14ac:dyDescent="0.45">
      <c r="A59" s="17" t="s">
        <v>60</v>
      </c>
      <c r="B59" s="48"/>
      <c r="C59" s="17"/>
      <c r="D59" s="178"/>
      <c r="E59" s="178"/>
      <c r="F59" s="178"/>
      <c r="G59" s="178">
        <f>E57+F57+G57+M57</f>
        <v>92056944.775000006</v>
      </c>
      <c r="H59" s="178"/>
      <c r="I59" s="178"/>
      <c r="J59" s="178"/>
      <c r="K59" s="178"/>
      <c r="L59" s="178"/>
      <c r="M59" s="178"/>
      <c r="N59" s="178"/>
      <c r="O59" s="178"/>
      <c r="P59" s="178"/>
      <c r="Q59" s="178"/>
      <c r="R59" s="178"/>
      <c r="S59" s="178"/>
      <c r="T59" s="178"/>
      <c r="U59" s="178"/>
      <c r="V59" s="178"/>
      <c r="W59" s="178"/>
      <c r="X59" s="179"/>
      <c r="Y59" s="178"/>
    </row>
    <row r="60" spans="1:28" s="181" customFormat="1" ht="18.5" x14ac:dyDescent="0.45">
      <c r="A60" s="159" t="s">
        <v>46</v>
      </c>
      <c r="B60" s="50">
        <v>0</v>
      </c>
      <c r="C60" s="32"/>
      <c r="D60" s="125">
        <v>16400000</v>
      </c>
      <c r="E60" s="125"/>
      <c r="F60" s="125"/>
      <c r="G60" s="125"/>
      <c r="H60" s="125"/>
      <c r="I60" s="125"/>
      <c r="J60" s="125"/>
      <c r="K60" s="125"/>
      <c r="L60" s="130">
        <f>G60+F60+E60+O60</f>
        <v>0</v>
      </c>
      <c r="M60" s="125"/>
      <c r="N60" s="125"/>
      <c r="O60" s="125"/>
      <c r="P60" s="125"/>
      <c r="Q60" s="125"/>
      <c r="R60" s="125"/>
      <c r="S60" s="125"/>
      <c r="T60" s="125"/>
      <c r="U60" s="125"/>
      <c r="V60" s="125"/>
      <c r="W60" s="125"/>
      <c r="X60" s="180"/>
      <c r="Y60" s="125"/>
    </row>
    <row r="61" spans="1:28" s="103" customFormat="1" ht="18.5" x14ac:dyDescent="0.45">
      <c r="A61" s="159" t="s">
        <v>29</v>
      </c>
      <c r="B61" s="160">
        <v>89600000</v>
      </c>
      <c r="C61" s="159"/>
      <c r="D61" s="130">
        <v>45000000</v>
      </c>
      <c r="E61" s="130"/>
      <c r="F61" s="130">
        <v>3500000</v>
      </c>
      <c r="G61" s="130"/>
      <c r="H61" s="130"/>
      <c r="I61" s="130"/>
      <c r="J61" s="130"/>
      <c r="K61" s="130"/>
      <c r="L61" s="130">
        <f>G61+F61+E61+O61</f>
        <v>3500000</v>
      </c>
      <c r="M61" s="130">
        <v>12500000</v>
      </c>
      <c r="N61" s="130"/>
      <c r="O61" s="130"/>
      <c r="P61" s="130"/>
      <c r="Q61" s="130"/>
      <c r="R61" s="130"/>
      <c r="S61" s="130"/>
      <c r="T61" s="130"/>
      <c r="U61" s="130"/>
      <c r="V61" s="130">
        <v>27500000</v>
      </c>
      <c r="W61" s="130"/>
      <c r="X61" s="162">
        <f>SUM(E61:W61)</f>
        <v>47000000</v>
      </c>
      <c r="Y61" s="130"/>
    </row>
    <row r="62" spans="1:28" s="103" customFormat="1" ht="18.5" x14ac:dyDescent="0.45">
      <c r="A62" s="170" t="s">
        <v>280</v>
      </c>
      <c r="B62" s="160">
        <f>B61+B60</f>
        <v>89600000</v>
      </c>
      <c r="C62" s="160">
        <f t="shared" ref="C62:X62" si="23">C61+C60</f>
        <v>0</v>
      </c>
      <c r="D62" s="160">
        <f t="shared" si="23"/>
        <v>61400000</v>
      </c>
      <c r="E62" s="160">
        <f t="shared" si="23"/>
        <v>0</v>
      </c>
      <c r="F62" s="160">
        <f t="shared" si="23"/>
        <v>3500000</v>
      </c>
      <c r="G62" s="160">
        <f t="shared" si="23"/>
        <v>0</v>
      </c>
      <c r="H62" s="160">
        <f t="shared" si="23"/>
        <v>0</v>
      </c>
      <c r="I62" s="160">
        <f t="shared" si="23"/>
        <v>0</v>
      </c>
      <c r="J62" s="160">
        <f t="shared" si="23"/>
        <v>0</v>
      </c>
      <c r="K62" s="160">
        <f t="shared" si="23"/>
        <v>0</v>
      </c>
      <c r="L62" s="160">
        <f t="shared" si="23"/>
        <v>3500000</v>
      </c>
      <c r="M62" s="160">
        <f t="shared" si="23"/>
        <v>12500000</v>
      </c>
      <c r="N62" s="160">
        <f t="shared" si="23"/>
        <v>0</v>
      </c>
      <c r="O62" s="160">
        <f t="shared" si="23"/>
        <v>0</v>
      </c>
      <c r="P62" s="160">
        <f t="shared" si="23"/>
        <v>0</v>
      </c>
      <c r="Q62" s="160">
        <f t="shared" si="23"/>
        <v>0</v>
      </c>
      <c r="R62" s="160">
        <f t="shared" si="23"/>
        <v>0</v>
      </c>
      <c r="S62" s="160">
        <f t="shared" si="23"/>
        <v>0</v>
      </c>
      <c r="T62" s="160">
        <f t="shared" si="23"/>
        <v>0</v>
      </c>
      <c r="U62" s="160">
        <f t="shared" si="23"/>
        <v>0</v>
      </c>
      <c r="V62" s="160">
        <f t="shared" si="23"/>
        <v>27500000</v>
      </c>
      <c r="W62" s="160">
        <f t="shared" si="23"/>
        <v>0</v>
      </c>
      <c r="X62" s="160">
        <f t="shared" si="23"/>
        <v>47000000</v>
      </c>
      <c r="Y62" s="130"/>
    </row>
    <row r="63" spans="1:28" s="103" customFormat="1" ht="18.5" x14ac:dyDescent="0.45">
      <c r="A63" s="170" t="s">
        <v>279</v>
      </c>
      <c r="B63" s="171">
        <f>B57+B61</f>
        <v>449225739.87</v>
      </c>
      <c r="C63" s="170"/>
      <c r="D63" s="133">
        <f>D61+D60+D57</f>
        <v>200991213</v>
      </c>
      <c r="E63" s="133">
        <f t="shared" ref="E63:L63" si="24">E61+E60+E57</f>
        <v>26819999.52</v>
      </c>
      <c r="F63" s="133">
        <f t="shared" si="24"/>
        <v>29568706.73</v>
      </c>
      <c r="G63" s="133">
        <f t="shared" si="24"/>
        <v>18243475.809999999</v>
      </c>
      <c r="H63" s="133">
        <f t="shared" si="24"/>
        <v>4242173</v>
      </c>
      <c r="I63" s="133">
        <f t="shared" si="24"/>
        <v>4336074.72</v>
      </c>
      <c r="J63" s="133">
        <f t="shared" si="24"/>
        <v>2255245.9500000002</v>
      </c>
      <c r="K63" s="133">
        <f t="shared" si="24"/>
        <v>7409982.1400000006</v>
      </c>
      <c r="L63" s="133">
        <f t="shared" si="24"/>
        <v>84242059.659999996</v>
      </c>
      <c r="M63" s="133">
        <f t="shared" ref="M63" si="25">M61+M60+M57</f>
        <v>33424762.715</v>
      </c>
      <c r="N63" s="133">
        <f t="shared" ref="N63" si="26">N61+N60+N57</f>
        <v>1445743</v>
      </c>
      <c r="O63" s="133">
        <f t="shared" ref="O63" si="27">O61+O60+O57</f>
        <v>3439971.34</v>
      </c>
      <c r="P63" s="133">
        <f t="shared" ref="P63" si="28">P61+P60+P57</f>
        <v>2603380</v>
      </c>
      <c r="Q63" s="133">
        <f t="shared" ref="Q63" si="29">Q61+Q60+Q57</f>
        <v>3686438.05</v>
      </c>
      <c r="R63" s="133">
        <f t="shared" ref="R63" si="30">R61+R60+R57</f>
        <v>2554850</v>
      </c>
      <c r="S63" s="133">
        <f t="shared" ref="S63" si="31">S61+S60+S57</f>
        <v>325732.90000000002</v>
      </c>
      <c r="T63" s="133">
        <f t="shared" ref="T63" si="32">T61+T60+T57</f>
        <v>2607217.71</v>
      </c>
      <c r="U63" s="133">
        <f t="shared" ref="U63" si="33">U61+U60+U57</f>
        <v>8191269.8250000002</v>
      </c>
      <c r="V63" s="133">
        <f t="shared" ref="V63" si="34">V61+V60+V57</f>
        <v>49314753.924999997</v>
      </c>
      <c r="W63" s="133">
        <f t="shared" ref="W63" si="35">W61+W60+W57</f>
        <v>24840999</v>
      </c>
      <c r="X63" s="133">
        <f t="shared" ref="X63" si="36">X61+X60+X57</f>
        <v>187499310.60000002</v>
      </c>
      <c r="Y63" s="130"/>
    </row>
    <row r="64" spans="1:28" s="103" customFormat="1" ht="37" x14ac:dyDescent="0.45">
      <c r="A64" s="159" t="s">
        <v>75</v>
      </c>
      <c r="B64" s="160">
        <v>60250000</v>
      </c>
      <c r="C64" s="159"/>
      <c r="D64" s="130">
        <v>48057000</v>
      </c>
      <c r="E64" s="130"/>
      <c r="F64" s="130">
        <v>1808000</v>
      </c>
      <c r="G64" s="130"/>
      <c r="H64" s="130"/>
      <c r="I64" s="130"/>
      <c r="J64" s="130"/>
      <c r="K64" s="130"/>
      <c r="L64" s="130">
        <v>2632000</v>
      </c>
      <c r="M64" s="130">
        <v>875000</v>
      </c>
      <c r="N64" s="130"/>
      <c r="O64" s="130"/>
      <c r="P64" s="130"/>
      <c r="Q64" s="130"/>
      <c r="R64" s="130"/>
      <c r="S64" s="130"/>
      <c r="T64" s="130"/>
      <c r="U64" s="130"/>
      <c r="V64" s="130">
        <v>10208000</v>
      </c>
      <c r="W64" s="130">
        <v>26301000</v>
      </c>
      <c r="X64" s="162">
        <f>SUM(E64:W64)</f>
        <v>41824000</v>
      </c>
      <c r="Y64" s="160" t="s">
        <v>196</v>
      </c>
    </row>
    <row r="65" spans="1:31" s="103" customFormat="1" ht="18.5" x14ac:dyDescent="0.45">
      <c r="A65" s="159" t="s">
        <v>76</v>
      </c>
      <c r="B65" s="160">
        <v>55000000</v>
      </c>
      <c r="C65" s="159"/>
      <c r="D65" s="130">
        <v>45000000</v>
      </c>
      <c r="E65" s="130">
        <v>0</v>
      </c>
      <c r="F65" s="130">
        <v>0</v>
      </c>
      <c r="G65" s="130"/>
      <c r="H65" s="130"/>
      <c r="I65" s="130"/>
      <c r="J65" s="130"/>
      <c r="K65" s="130"/>
      <c r="L65" s="130">
        <f>G65+F65+E65+O65</f>
        <v>0</v>
      </c>
      <c r="M65" s="130"/>
      <c r="N65" s="130"/>
      <c r="O65" s="130"/>
      <c r="P65" s="130"/>
      <c r="Q65" s="130"/>
      <c r="R65" s="130"/>
      <c r="S65" s="130"/>
      <c r="T65" s="130"/>
      <c r="U65" s="130"/>
      <c r="V65" s="130"/>
      <c r="W65" s="130">
        <v>1000000</v>
      </c>
      <c r="X65" s="162"/>
      <c r="Y65" s="160" t="s">
        <v>86</v>
      </c>
    </row>
    <row r="66" spans="1:31" s="103" customFormat="1" ht="18.5" x14ac:dyDescent="0.45">
      <c r="A66" s="182" t="s">
        <v>57</v>
      </c>
      <c r="B66" s="183">
        <f>SUM(B64:B65)</f>
        <v>115250000</v>
      </c>
      <c r="C66" s="183">
        <f>SUM(C64:C65)</f>
        <v>0</v>
      </c>
      <c r="D66" s="183">
        <f>SUM(D60:D65)</f>
        <v>416848213</v>
      </c>
      <c r="E66" s="183">
        <f t="shared" ref="E66:W66" si="37">SUM(E64:E65)</f>
        <v>0</v>
      </c>
      <c r="F66" s="183">
        <f t="shared" si="37"/>
        <v>1808000</v>
      </c>
      <c r="G66" s="183">
        <f t="shared" si="37"/>
        <v>0</v>
      </c>
      <c r="H66" s="183">
        <f t="shared" si="37"/>
        <v>0</v>
      </c>
      <c r="I66" s="183">
        <f t="shared" si="37"/>
        <v>0</v>
      </c>
      <c r="J66" s="183">
        <f t="shared" si="37"/>
        <v>0</v>
      </c>
      <c r="K66" s="183">
        <f t="shared" si="37"/>
        <v>0</v>
      </c>
      <c r="L66" s="183">
        <f t="shared" si="37"/>
        <v>2632000</v>
      </c>
      <c r="M66" s="183">
        <f t="shared" si="37"/>
        <v>875000</v>
      </c>
      <c r="N66" s="183"/>
      <c r="O66" s="183"/>
      <c r="P66" s="183"/>
      <c r="Q66" s="183"/>
      <c r="R66" s="183"/>
      <c r="S66" s="183"/>
      <c r="T66" s="183"/>
      <c r="U66" s="183"/>
      <c r="V66" s="183">
        <f t="shared" si="37"/>
        <v>10208000</v>
      </c>
      <c r="W66" s="183">
        <f t="shared" si="37"/>
        <v>27301000</v>
      </c>
      <c r="X66" s="133">
        <f>SUM(X29:X65)</f>
        <v>860311461.61000001</v>
      </c>
      <c r="Y66" s="133"/>
    </row>
    <row r="67" spans="1:31" s="103" customFormat="1" ht="18.5" x14ac:dyDescent="0.45">
      <c r="A67" s="184" t="s">
        <v>174</v>
      </c>
      <c r="B67" s="185"/>
      <c r="C67" s="184"/>
      <c r="D67" s="186"/>
      <c r="E67" s="186"/>
      <c r="F67" s="186"/>
      <c r="G67" s="186"/>
      <c r="H67" s="186"/>
      <c r="I67" s="186"/>
      <c r="J67" s="186"/>
      <c r="K67" s="186"/>
      <c r="L67" s="186"/>
      <c r="M67" s="186"/>
      <c r="N67" s="186"/>
      <c r="O67" s="186"/>
      <c r="P67" s="186"/>
      <c r="Q67" s="186"/>
      <c r="R67" s="186"/>
      <c r="S67" s="186"/>
      <c r="T67" s="186"/>
      <c r="U67" s="186"/>
      <c r="V67" s="186"/>
      <c r="W67" s="186"/>
      <c r="X67" s="187"/>
      <c r="Y67" s="186"/>
    </row>
    <row r="68" spans="1:31" s="103" customFormat="1" ht="21.75" customHeight="1" x14ac:dyDescent="0.45">
      <c r="A68" s="160" t="s">
        <v>126</v>
      </c>
      <c r="B68" s="160"/>
      <c r="C68" s="160"/>
      <c r="D68" s="160">
        <v>287000</v>
      </c>
      <c r="E68" s="160"/>
      <c r="F68" s="160"/>
      <c r="G68" s="160">
        <v>287000</v>
      </c>
      <c r="H68" s="160">
        <v>77500</v>
      </c>
      <c r="I68" s="160">
        <v>77500</v>
      </c>
      <c r="J68" s="160"/>
      <c r="K68" s="160"/>
      <c r="L68" s="160"/>
      <c r="M68" s="160"/>
      <c r="N68" s="160">
        <v>67500</v>
      </c>
      <c r="O68" s="160">
        <v>68516.67</v>
      </c>
      <c r="P68" s="160">
        <v>71000</v>
      </c>
      <c r="Q68" s="160"/>
      <c r="R68" s="160">
        <v>76500</v>
      </c>
      <c r="S68" s="160"/>
      <c r="T68" s="160"/>
      <c r="U68" s="160">
        <v>72000</v>
      </c>
      <c r="V68" s="160"/>
      <c r="W68" s="160"/>
      <c r="X68" s="130">
        <f>SUM(E68:W68)-H68-I68-O68</f>
        <v>574000</v>
      </c>
      <c r="Y68" s="160"/>
    </row>
    <row r="69" spans="1:31" s="103" customFormat="1" ht="18.5" x14ac:dyDescent="0.45">
      <c r="A69" s="132" t="s">
        <v>79</v>
      </c>
      <c r="B69" s="133"/>
      <c r="C69" s="129"/>
      <c r="D69" s="130">
        <f>50000+41930+50000+43000+69000+37000+38000+100000</f>
        <v>428930</v>
      </c>
      <c r="E69" s="130"/>
      <c r="F69" s="130"/>
      <c r="G69" s="130">
        <v>107233</v>
      </c>
      <c r="H69" s="130"/>
      <c r="I69" s="130"/>
      <c r="J69" s="130"/>
      <c r="K69" s="130"/>
      <c r="L69" s="130"/>
      <c r="M69" s="130">
        <f>428930/4</f>
        <v>107232.5</v>
      </c>
      <c r="N69" s="130"/>
      <c r="O69" s="130"/>
      <c r="P69" s="130"/>
      <c r="Q69" s="130"/>
      <c r="R69" s="130"/>
      <c r="S69" s="130"/>
      <c r="T69" s="130"/>
      <c r="U69" s="130"/>
      <c r="V69" s="130">
        <v>107233</v>
      </c>
      <c r="W69" s="130">
        <v>107233</v>
      </c>
      <c r="X69" s="162">
        <f>SUM(E69:W69)</f>
        <v>428931.5</v>
      </c>
      <c r="Y69" s="130"/>
    </row>
    <row r="70" spans="1:31" s="103" customFormat="1" ht="18.5" x14ac:dyDescent="0.45">
      <c r="A70" s="25" t="s">
        <v>74</v>
      </c>
      <c r="B70" s="49"/>
      <c r="C70" s="25"/>
      <c r="D70" s="188"/>
      <c r="E70" s="189"/>
      <c r="F70" s="189"/>
      <c r="G70" s="189"/>
      <c r="H70" s="189"/>
      <c r="I70" s="189"/>
      <c r="J70" s="189"/>
      <c r="K70" s="189"/>
      <c r="L70" s="189"/>
      <c r="M70" s="189"/>
      <c r="N70" s="189"/>
      <c r="O70" s="189"/>
      <c r="P70" s="189"/>
      <c r="Q70" s="189"/>
      <c r="R70" s="189"/>
      <c r="S70" s="189"/>
      <c r="T70" s="189"/>
      <c r="U70" s="189"/>
      <c r="V70" s="189"/>
      <c r="W70" s="189"/>
      <c r="X70" s="190"/>
      <c r="Y70" s="189"/>
    </row>
    <row r="71" spans="1:31" s="103" customFormat="1" ht="18.5" x14ac:dyDescent="0.45">
      <c r="A71" s="32" t="s">
        <v>84</v>
      </c>
      <c r="B71" s="50"/>
      <c r="C71" s="32"/>
      <c r="D71" s="126">
        <v>12100000</v>
      </c>
      <c r="E71" s="125"/>
      <c r="F71" s="125"/>
      <c r="G71" s="126">
        <f>D71</f>
        <v>12100000</v>
      </c>
      <c r="H71" s="126"/>
      <c r="I71" s="126"/>
      <c r="J71" s="126"/>
      <c r="K71" s="126"/>
      <c r="L71" s="126"/>
      <c r="M71" s="126">
        <f>D71-SUM(H74:J74)</f>
        <v>11425625</v>
      </c>
      <c r="N71" s="126"/>
      <c r="O71" s="126"/>
      <c r="P71" s="126"/>
      <c r="Q71" s="126"/>
      <c r="R71" s="126"/>
      <c r="S71" s="126"/>
      <c r="T71" s="126"/>
      <c r="U71" s="126"/>
      <c r="V71" s="126"/>
      <c r="W71" s="126"/>
      <c r="X71" s="180"/>
      <c r="Y71" s="125"/>
    </row>
    <row r="72" spans="1:31" s="103" customFormat="1" ht="18.5" x14ac:dyDescent="0.45">
      <c r="A72" s="131" t="s">
        <v>78</v>
      </c>
      <c r="B72" s="130"/>
      <c r="C72" s="131"/>
      <c r="D72" s="130">
        <v>3200000</v>
      </c>
      <c r="E72" s="130"/>
      <c r="F72" s="130"/>
      <c r="G72" s="130">
        <v>1275000</v>
      </c>
      <c r="H72" s="130">
        <v>150096.46</v>
      </c>
      <c r="I72" s="130">
        <f>674375-H72</f>
        <v>524278.54000000004</v>
      </c>
      <c r="J72" s="130"/>
      <c r="K72" s="130"/>
      <c r="L72" s="130"/>
      <c r="M72" s="130">
        <f>3200000-1275000</f>
        <v>1925000</v>
      </c>
      <c r="N72" s="130"/>
      <c r="O72" s="130"/>
      <c r="P72" s="130"/>
      <c r="Q72" s="130"/>
      <c r="R72" s="130"/>
      <c r="S72" s="130"/>
      <c r="T72" s="130"/>
      <c r="U72" s="130"/>
      <c r="V72" s="130"/>
      <c r="W72" s="130"/>
      <c r="X72" s="162">
        <f>G72+M72</f>
        <v>3200000</v>
      </c>
      <c r="Y72" s="130"/>
    </row>
    <row r="73" spans="1:31" s="103" customFormat="1" ht="18.5" x14ac:dyDescent="0.45">
      <c r="A73" s="131" t="s">
        <v>232</v>
      </c>
      <c r="B73" s="130">
        <v>26950000</v>
      </c>
      <c r="C73" s="131"/>
      <c r="D73" s="130">
        <v>3872876</v>
      </c>
      <c r="E73" s="130"/>
      <c r="F73" s="130"/>
      <c r="G73" s="130"/>
      <c r="H73" s="130"/>
      <c r="I73" s="130"/>
      <c r="J73" s="130"/>
      <c r="K73" s="130"/>
      <c r="L73" s="130"/>
      <c r="M73" s="130"/>
      <c r="N73" s="130"/>
      <c r="O73" s="130"/>
      <c r="P73" s="130"/>
      <c r="Q73" s="130"/>
      <c r="R73" s="130"/>
      <c r="S73" s="130"/>
      <c r="T73" s="130"/>
      <c r="U73" s="130"/>
      <c r="V73" s="130"/>
      <c r="W73" s="130"/>
      <c r="X73" s="162"/>
      <c r="Y73" s="130"/>
    </row>
    <row r="74" spans="1:31" s="103" customFormat="1" ht="18.5" x14ac:dyDescent="0.45">
      <c r="A74" s="132" t="s">
        <v>57</v>
      </c>
      <c r="B74" s="133">
        <f>B73+B72</f>
        <v>26950000</v>
      </c>
      <c r="C74" s="132"/>
      <c r="D74" s="133">
        <f t="shared" ref="D74:J74" si="38">SUM(D72:D72)</f>
        <v>3200000</v>
      </c>
      <c r="E74" s="133">
        <f t="shared" si="38"/>
        <v>0</v>
      </c>
      <c r="F74" s="133">
        <f t="shared" si="38"/>
        <v>0</v>
      </c>
      <c r="G74" s="133">
        <f t="shared" si="38"/>
        <v>1275000</v>
      </c>
      <c r="H74" s="133">
        <f t="shared" si="38"/>
        <v>150096.46</v>
      </c>
      <c r="I74" s="133">
        <f t="shared" si="38"/>
        <v>524278.54000000004</v>
      </c>
      <c r="J74" s="133">
        <f t="shared" si="38"/>
        <v>0</v>
      </c>
      <c r="K74" s="133"/>
      <c r="L74" s="133"/>
      <c r="M74" s="133">
        <f>SUM(M72:M72)</f>
        <v>1925000</v>
      </c>
      <c r="N74" s="133"/>
      <c r="O74" s="133"/>
      <c r="P74" s="133"/>
      <c r="Q74" s="133"/>
      <c r="R74" s="133"/>
      <c r="S74" s="133"/>
      <c r="T74" s="133"/>
      <c r="U74" s="133"/>
      <c r="V74" s="133">
        <f>SUM(V72:V72)</f>
        <v>0</v>
      </c>
      <c r="W74" s="133">
        <f>SUM(W72:W72)</f>
        <v>0</v>
      </c>
      <c r="X74" s="133">
        <f>SUM(X72:X72)</f>
        <v>3200000</v>
      </c>
      <c r="Y74" s="130"/>
    </row>
    <row r="75" spans="1:31" s="103" customFormat="1" ht="18.5" x14ac:dyDescent="0.45">
      <c r="B75" s="167"/>
      <c r="D75" s="167"/>
      <c r="E75" s="167"/>
      <c r="F75" s="167"/>
      <c r="G75" s="167"/>
      <c r="H75" s="167"/>
      <c r="I75" s="167"/>
      <c r="J75" s="167"/>
      <c r="K75" s="167"/>
      <c r="L75" s="167"/>
      <c r="M75" s="167"/>
      <c r="N75" s="167"/>
      <c r="O75" s="167"/>
      <c r="P75" s="167"/>
      <c r="Q75" s="167"/>
      <c r="R75" s="167"/>
      <c r="S75" s="167"/>
      <c r="T75" s="167"/>
      <c r="U75" s="167"/>
      <c r="V75" s="167"/>
      <c r="W75" s="167"/>
      <c r="X75" s="167"/>
      <c r="Y75" s="167"/>
    </row>
    <row r="76" spans="1:31" s="103" customFormat="1" ht="18.5" x14ac:dyDescent="0.45">
      <c r="A76" s="132" t="s">
        <v>83</v>
      </c>
      <c r="B76" s="133">
        <f>B74+B66+B57</f>
        <v>501825739.87</v>
      </c>
      <c r="C76" s="132"/>
      <c r="D76" s="133">
        <f>D74+D66+D57</f>
        <v>559639426</v>
      </c>
      <c r="E76" s="133">
        <f>E74+E66+E57</f>
        <v>26819999.52</v>
      </c>
      <c r="F76" s="133">
        <f>F74+F66+F57</f>
        <v>27876706.73</v>
      </c>
      <c r="G76" s="133">
        <f>G74+G66+G57</f>
        <v>19518475.809999999</v>
      </c>
      <c r="H76" s="133">
        <f>H74+H66+H57</f>
        <v>4392269.46</v>
      </c>
      <c r="I76" s="133"/>
      <c r="J76" s="133"/>
      <c r="K76" s="133"/>
      <c r="L76" s="133"/>
      <c r="M76" s="133">
        <f>M74+M66+M57</f>
        <v>23724762.715</v>
      </c>
      <c r="N76" s="133"/>
      <c r="O76" s="133"/>
      <c r="P76" s="133"/>
      <c r="Q76" s="133"/>
      <c r="R76" s="133"/>
      <c r="S76" s="133"/>
      <c r="T76" s="133"/>
      <c r="U76" s="133"/>
      <c r="V76" s="133">
        <f>V74+V66+V57</f>
        <v>32022753.925000001</v>
      </c>
      <c r="W76" s="133">
        <f>W74+W66+W57</f>
        <v>52141999</v>
      </c>
      <c r="X76" s="133">
        <f>SUM(E76:W76)</f>
        <v>186496967.16</v>
      </c>
      <c r="Y76" s="167"/>
      <c r="Z76" s="131"/>
      <c r="AA76" s="131" t="s">
        <v>254</v>
      </c>
      <c r="AB76" s="131" t="s">
        <v>255</v>
      </c>
      <c r="AC76" s="131" t="s">
        <v>256</v>
      </c>
      <c r="AD76" s="131" t="s">
        <v>257</v>
      </c>
      <c r="AE76" s="131" t="s">
        <v>258</v>
      </c>
    </row>
    <row r="77" spans="1:31" x14ac:dyDescent="0.4">
      <c r="C77" s="114"/>
      <c r="Z77" s="201" t="s">
        <v>262</v>
      </c>
      <c r="AA77" s="201">
        <v>9</v>
      </c>
      <c r="AB77" s="203">
        <f>SUM(B10:B18)</f>
        <v>104460313.73999999</v>
      </c>
      <c r="AC77" s="203">
        <f>SUM(D10:D18)</f>
        <v>45059600</v>
      </c>
      <c r="AD77" s="203">
        <f>AC77</f>
        <v>45059600</v>
      </c>
      <c r="AE77" s="203">
        <v>0</v>
      </c>
    </row>
    <row r="78" spans="1:31" x14ac:dyDescent="0.4">
      <c r="D78" s="114">
        <f>SUM(D10:D15)+SUM(D22:D27)+D19+D35+D36+D37+D38+D43+D51+D61</f>
        <v>147388315</v>
      </c>
      <c r="Z78" s="201" t="s">
        <v>259</v>
      </c>
      <c r="AA78" s="201">
        <v>10</v>
      </c>
      <c r="AB78" s="203">
        <f>SUM(B22:B29)+B61</f>
        <v>258381158.13</v>
      </c>
      <c r="AC78" s="203">
        <f>SUM(D22:D29)+D61+D60</f>
        <v>109894543</v>
      </c>
      <c r="AD78" s="203">
        <f>SUM(L22:L29)</f>
        <v>28528678.289999999</v>
      </c>
      <c r="AE78" s="203">
        <f>AC78-AD78</f>
        <v>81365864.710000008</v>
      </c>
    </row>
    <row r="79" spans="1:31" x14ac:dyDescent="0.4">
      <c r="C79" s="114"/>
      <c r="D79" s="114">
        <f>SUM(D44:D50)+D41+D40+D28+D60+D29+D39</f>
        <v>48283298</v>
      </c>
      <c r="Z79" s="201" t="s">
        <v>260</v>
      </c>
      <c r="AA79" s="201">
        <v>15</v>
      </c>
      <c r="AB79" s="203">
        <f>SUM(B35:B51)</f>
        <v>82593070</v>
      </c>
      <c r="AC79" s="203">
        <f>SUM(D35:D51)</f>
        <v>42839070</v>
      </c>
      <c r="AD79" s="203">
        <f>SUM(L35:L51)</f>
        <v>4079529.87</v>
      </c>
      <c r="AE79" s="203">
        <f>AC79-AD79</f>
        <v>38759540.130000003</v>
      </c>
    </row>
    <row r="80" spans="1:31" x14ac:dyDescent="0.4">
      <c r="C80" s="114"/>
      <c r="Z80" s="201" t="s">
        <v>261</v>
      </c>
      <c r="AA80" s="201"/>
      <c r="AB80" s="203">
        <f>SUM(AB77:AB78)</f>
        <v>362841471.87</v>
      </c>
      <c r="AC80" s="203">
        <f>SUM(AC77:AC79)</f>
        <v>197793213</v>
      </c>
      <c r="AD80" s="203">
        <f t="shared" ref="AD80:AE80" si="39">SUM(AD77:AD79)</f>
        <v>77667808.159999996</v>
      </c>
      <c r="AE80" s="203">
        <f t="shared" si="39"/>
        <v>120125404.84</v>
      </c>
    </row>
    <row r="81" spans="4:31" ht="51" x14ac:dyDescent="0.4">
      <c r="G81" s="117"/>
      <c r="Z81" s="202" t="s">
        <v>263</v>
      </c>
      <c r="AA81" s="201">
        <v>2</v>
      </c>
      <c r="AB81" s="203">
        <f>B64+B65</f>
        <v>115250000</v>
      </c>
      <c r="AC81" s="203">
        <f>D64+D65</f>
        <v>93057000</v>
      </c>
      <c r="AD81" s="203">
        <v>0</v>
      </c>
      <c r="AE81" s="203">
        <f>AC81</f>
        <v>93057000</v>
      </c>
    </row>
    <row r="82" spans="4:31" x14ac:dyDescent="0.4">
      <c r="Z82" s="201" t="s">
        <v>57</v>
      </c>
      <c r="AA82" s="201">
        <f>AA80+AA81</f>
        <v>2</v>
      </c>
      <c r="AB82" s="203"/>
      <c r="AC82" s="203"/>
      <c r="AD82" s="203"/>
      <c r="AE82" s="203"/>
    </row>
    <row r="83" spans="4:31" x14ac:dyDescent="0.4">
      <c r="G83" s="114">
        <f>108737-108488</f>
        <v>249</v>
      </c>
    </row>
    <row r="84" spans="4:31" x14ac:dyDescent="0.4">
      <c r="D84" s="200"/>
      <c r="AC84" s="116"/>
    </row>
  </sheetData>
  <pageMargins left="0.23622047244094491" right="0.23622047244094491" top="0.35433070866141736" bottom="0.35433070866141736" header="0.31496062992125984" footer="0.31496062992125984"/>
  <pageSetup paperSize="8" scale="4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1"/>
  <sheetViews>
    <sheetView workbookViewId="0">
      <pane ySplit="1" topLeftCell="A23" activePane="bottomLeft" state="frozen"/>
      <selection pane="bottomLeft" activeCell="F41" sqref="F41:I42"/>
    </sheetView>
  </sheetViews>
  <sheetFormatPr defaultRowHeight="14.5" x14ac:dyDescent="0.35"/>
  <cols>
    <col min="1" max="1" width="36.1796875" customWidth="1"/>
    <col min="2" max="3" width="18.81640625" customWidth="1"/>
    <col min="4" max="4" width="16" style="194" bestFit="1" customWidth="1"/>
    <col min="5" max="5" width="16.81640625" style="194" customWidth="1"/>
    <col min="6" max="6" width="16.81640625" style="193" customWidth="1"/>
    <col min="7" max="8" width="9.1796875" style="193"/>
    <col min="10" max="10" width="40.54296875" customWidth="1"/>
  </cols>
  <sheetData>
    <row r="1" spans="1:10" ht="31" x14ac:dyDescent="0.35">
      <c r="A1" s="191" t="s">
        <v>17</v>
      </c>
      <c r="B1" s="192" t="s">
        <v>92</v>
      </c>
      <c r="C1" s="192" t="s">
        <v>202</v>
      </c>
      <c r="D1" s="192" t="s">
        <v>199</v>
      </c>
      <c r="E1" s="192" t="s">
        <v>198</v>
      </c>
      <c r="F1" s="192" t="s">
        <v>203</v>
      </c>
      <c r="G1" s="192" t="s">
        <v>200</v>
      </c>
      <c r="H1" s="192" t="s">
        <v>201</v>
      </c>
      <c r="I1" s="192" t="s">
        <v>204</v>
      </c>
      <c r="J1" s="192" t="s">
        <v>77</v>
      </c>
    </row>
    <row r="2" spans="1:10" ht="18.5" x14ac:dyDescent="0.45">
      <c r="A2" s="143" t="s">
        <v>61</v>
      </c>
      <c r="B2" s="144"/>
      <c r="C2" s="145"/>
      <c r="D2" s="15"/>
      <c r="E2" s="15"/>
      <c r="F2" s="111"/>
      <c r="G2" s="111"/>
      <c r="H2" s="111"/>
      <c r="I2" s="1"/>
      <c r="J2" s="1"/>
    </row>
    <row r="3" spans="1:10" ht="18.5" x14ac:dyDescent="0.45">
      <c r="A3" s="154" t="s">
        <v>178</v>
      </c>
      <c r="B3" s="155"/>
      <c r="C3" s="155"/>
      <c r="D3" s="15"/>
      <c r="E3" s="15"/>
      <c r="F3" s="111"/>
      <c r="G3" s="111"/>
      <c r="H3" s="111"/>
      <c r="I3" s="1"/>
      <c r="J3" s="1"/>
    </row>
    <row r="4" spans="1:10" ht="18.5" x14ac:dyDescent="0.45">
      <c r="A4" s="159" t="s">
        <v>39</v>
      </c>
      <c r="B4" s="160">
        <v>21637682</v>
      </c>
      <c r="C4" s="130">
        <v>13500000</v>
      </c>
      <c r="D4" s="15"/>
      <c r="E4" s="15"/>
      <c r="F4" s="111">
        <f t="shared" ref="F4:F16" si="0">C4/B4*100</f>
        <v>62.391156317021391</v>
      </c>
      <c r="G4" s="111">
        <f t="shared" ref="G4:G16" si="1">D4/B4*100</f>
        <v>0</v>
      </c>
      <c r="H4" s="111">
        <f t="shared" ref="H4:H16" si="2">E4/B4*100</f>
        <v>0</v>
      </c>
      <c r="I4" s="1">
        <f>SUM(F4:H4)</f>
        <v>62.391156317021391</v>
      </c>
      <c r="J4" s="1"/>
    </row>
    <row r="5" spans="1:10" ht="18.5" x14ac:dyDescent="0.45">
      <c r="A5" s="159" t="s">
        <v>41</v>
      </c>
      <c r="B5" s="160">
        <v>17382850</v>
      </c>
      <c r="C5" s="130">
        <v>6800000</v>
      </c>
      <c r="D5" s="15"/>
      <c r="E5" s="15"/>
      <c r="F5" s="111">
        <f t="shared" si="0"/>
        <v>39.119016732008852</v>
      </c>
      <c r="G5" s="111">
        <f t="shared" si="1"/>
        <v>0</v>
      </c>
      <c r="H5" s="111">
        <f t="shared" si="2"/>
        <v>0</v>
      </c>
      <c r="I5" s="1">
        <f t="shared" ref="I5:I49" si="3">SUM(F5:H5)</f>
        <v>39.119016732008852</v>
      </c>
      <c r="J5" s="1"/>
    </row>
    <row r="6" spans="1:10" ht="18.5" x14ac:dyDescent="0.45">
      <c r="A6" s="159" t="s">
        <v>175</v>
      </c>
      <c r="B6" s="160">
        <v>7500000</v>
      </c>
      <c r="C6" s="162">
        <v>7500000</v>
      </c>
      <c r="D6" s="15"/>
      <c r="E6" s="15"/>
      <c r="F6" s="111">
        <f t="shared" si="0"/>
        <v>100</v>
      </c>
      <c r="G6" s="111">
        <f t="shared" si="1"/>
        <v>0</v>
      </c>
      <c r="H6" s="111">
        <f t="shared" si="2"/>
        <v>0</v>
      </c>
      <c r="I6" s="1">
        <f t="shared" si="3"/>
        <v>100</v>
      </c>
      <c r="J6" s="1"/>
    </row>
    <row r="7" spans="1:10" ht="37" x14ac:dyDescent="0.45">
      <c r="A7" s="159" t="s">
        <v>176</v>
      </c>
      <c r="B7" s="160">
        <v>25747350</v>
      </c>
      <c r="C7" s="162">
        <v>4800000</v>
      </c>
      <c r="D7" s="15"/>
      <c r="E7" s="15"/>
      <c r="F7" s="111">
        <f t="shared" si="0"/>
        <v>18.642695267668323</v>
      </c>
      <c r="G7" s="111">
        <f t="shared" si="1"/>
        <v>0</v>
      </c>
      <c r="H7" s="111">
        <f t="shared" si="2"/>
        <v>0</v>
      </c>
      <c r="I7" s="1">
        <f t="shared" si="3"/>
        <v>18.642695267668323</v>
      </c>
      <c r="J7" s="1"/>
    </row>
    <row r="8" spans="1:10" ht="18.5" x14ac:dyDescent="0.45">
      <c r="A8" s="159" t="s">
        <v>137</v>
      </c>
      <c r="B8" s="160">
        <v>4986000</v>
      </c>
      <c r="C8" s="130">
        <v>2140000</v>
      </c>
      <c r="D8" s="15"/>
      <c r="E8" s="15"/>
      <c r="F8" s="111">
        <f t="shared" si="0"/>
        <v>42.920176494183714</v>
      </c>
      <c r="G8" s="111">
        <f t="shared" si="1"/>
        <v>0</v>
      </c>
      <c r="H8" s="111">
        <f t="shared" si="2"/>
        <v>0</v>
      </c>
      <c r="I8" s="1">
        <f t="shared" si="3"/>
        <v>42.920176494183714</v>
      </c>
      <c r="J8" s="1"/>
    </row>
    <row r="9" spans="1:10" ht="18.5" x14ac:dyDescent="0.45">
      <c r="A9" s="154" t="s">
        <v>179</v>
      </c>
      <c r="B9" s="155"/>
      <c r="C9" s="155"/>
      <c r="D9" s="155"/>
      <c r="E9" s="155"/>
      <c r="F9" s="155"/>
      <c r="G9" s="155"/>
      <c r="H9" s="155"/>
      <c r="I9" s="155"/>
      <c r="J9" s="155"/>
    </row>
    <row r="10" spans="1:10" ht="18.5" x14ac:dyDescent="0.45">
      <c r="A10" s="159" t="s">
        <v>18</v>
      </c>
      <c r="B10" s="160">
        <v>10378000</v>
      </c>
      <c r="C10" s="130">
        <v>5850000</v>
      </c>
      <c r="D10" s="15">
        <v>4028000</v>
      </c>
      <c r="E10" s="15">
        <v>500000</v>
      </c>
      <c r="F10" s="111">
        <f t="shared" si="0"/>
        <v>56.369242628637508</v>
      </c>
      <c r="G10" s="111">
        <f t="shared" si="1"/>
        <v>38.812873386008867</v>
      </c>
      <c r="H10" s="111">
        <f t="shared" si="2"/>
        <v>4.8178839853536326</v>
      </c>
      <c r="I10" s="1">
        <f t="shared" si="3"/>
        <v>100</v>
      </c>
      <c r="J10" s="1" t="s">
        <v>210</v>
      </c>
    </row>
    <row r="11" spans="1:10" ht="18.5" x14ac:dyDescent="0.45">
      <c r="A11" s="159" t="s">
        <v>22</v>
      </c>
      <c r="B11" s="160">
        <v>7500000</v>
      </c>
      <c r="C11" s="130">
        <v>3300000</v>
      </c>
      <c r="D11" s="15">
        <v>2250000</v>
      </c>
      <c r="E11" s="15">
        <v>1950000</v>
      </c>
      <c r="F11" s="111">
        <f t="shared" si="0"/>
        <v>44</v>
      </c>
      <c r="G11" s="111">
        <f t="shared" si="1"/>
        <v>30</v>
      </c>
      <c r="H11" s="111">
        <f t="shared" si="2"/>
        <v>26</v>
      </c>
      <c r="I11" s="1">
        <f t="shared" si="3"/>
        <v>100</v>
      </c>
      <c r="J11" s="1" t="s">
        <v>213</v>
      </c>
    </row>
    <row r="12" spans="1:10" ht="37" x14ac:dyDescent="0.45">
      <c r="A12" s="159" t="s">
        <v>73</v>
      </c>
      <c r="B12" s="160">
        <v>31982000</v>
      </c>
      <c r="C12" s="130">
        <v>10000000</v>
      </c>
      <c r="D12" s="15">
        <f>B12*0.19</f>
        <v>6076580</v>
      </c>
      <c r="E12" s="15">
        <f>B12*0.49</f>
        <v>15671180</v>
      </c>
      <c r="F12" s="111">
        <v>32.573</v>
      </c>
      <c r="G12" s="111">
        <f>100-32.573-16.287-32.573</f>
        <v>18.566999999999993</v>
      </c>
      <c r="H12" s="111">
        <f>16.287+32.573</f>
        <v>48.86</v>
      </c>
      <c r="I12" s="1">
        <f t="shared" si="3"/>
        <v>100</v>
      </c>
      <c r="J12" s="1"/>
    </row>
    <row r="13" spans="1:10" ht="18.5" x14ac:dyDescent="0.45">
      <c r="A13" s="159" t="s">
        <v>24</v>
      </c>
      <c r="B13" s="160">
        <v>7000000</v>
      </c>
      <c r="C13" s="130">
        <v>2475000</v>
      </c>
      <c r="D13" s="15"/>
      <c r="E13" s="15"/>
      <c r="F13" s="111">
        <f t="shared" si="0"/>
        <v>35.357142857142861</v>
      </c>
      <c r="G13" s="111">
        <f t="shared" si="1"/>
        <v>0</v>
      </c>
      <c r="H13" s="111">
        <f t="shared" si="2"/>
        <v>0</v>
      </c>
      <c r="I13" s="1">
        <f t="shared" si="3"/>
        <v>35.357142857142861</v>
      </c>
      <c r="J13" s="1"/>
    </row>
    <row r="14" spans="1:10" ht="37" x14ac:dyDescent="0.45">
      <c r="A14" s="159" t="s">
        <v>25</v>
      </c>
      <c r="B14" s="160">
        <v>9980000</v>
      </c>
      <c r="C14" s="130">
        <v>3556000</v>
      </c>
      <c r="D14" s="15"/>
      <c r="E14" s="15"/>
      <c r="F14" s="111">
        <f t="shared" si="0"/>
        <v>35.631262525050097</v>
      </c>
      <c r="G14" s="111">
        <f t="shared" si="1"/>
        <v>0</v>
      </c>
      <c r="H14" s="111">
        <f t="shared" si="2"/>
        <v>0</v>
      </c>
      <c r="I14" s="1">
        <f t="shared" si="3"/>
        <v>35.631262525050097</v>
      </c>
      <c r="J14" s="1"/>
    </row>
    <row r="15" spans="1:10" ht="37" x14ac:dyDescent="0.45">
      <c r="A15" s="159" t="s">
        <v>26</v>
      </c>
      <c r="B15" s="160">
        <v>2045000</v>
      </c>
      <c r="C15" s="130">
        <v>674850</v>
      </c>
      <c r="D15" s="15"/>
      <c r="E15" s="15"/>
      <c r="F15" s="111">
        <f t="shared" si="0"/>
        <v>33</v>
      </c>
      <c r="G15" s="111">
        <f t="shared" si="1"/>
        <v>0</v>
      </c>
      <c r="H15" s="111">
        <f t="shared" si="2"/>
        <v>0</v>
      </c>
      <c r="I15" s="1">
        <f t="shared" si="3"/>
        <v>33</v>
      </c>
      <c r="J15" s="1"/>
    </row>
    <row r="16" spans="1:10" ht="37" x14ac:dyDescent="0.45">
      <c r="A16" s="159" t="s">
        <v>170</v>
      </c>
      <c r="B16" s="160">
        <v>6000000</v>
      </c>
      <c r="C16" s="130">
        <v>2170000</v>
      </c>
      <c r="D16" s="15"/>
      <c r="E16" s="15"/>
      <c r="F16" s="111">
        <f t="shared" si="0"/>
        <v>36.166666666666671</v>
      </c>
      <c r="G16" s="111">
        <f t="shared" si="1"/>
        <v>0</v>
      </c>
      <c r="H16" s="111">
        <f t="shared" si="2"/>
        <v>0</v>
      </c>
      <c r="I16" s="1">
        <f t="shared" si="3"/>
        <v>36.166666666666671</v>
      </c>
      <c r="J16" s="1"/>
    </row>
    <row r="17" spans="1:10" ht="37" x14ac:dyDescent="0.45">
      <c r="A17" s="159" t="s">
        <v>138</v>
      </c>
      <c r="B17" s="160">
        <v>11690000</v>
      </c>
      <c r="C17" s="130">
        <v>5000000</v>
      </c>
      <c r="D17" s="15">
        <f>1470000+194000+200000</f>
        <v>1864000</v>
      </c>
      <c r="E17" s="15">
        <f>4826000</f>
        <v>4826000</v>
      </c>
      <c r="F17" s="111">
        <f>C17/B17*100</f>
        <v>42.771599657827203</v>
      </c>
      <c r="G17" s="111">
        <f>D17/B17*100</f>
        <v>15.945252352437981</v>
      </c>
      <c r="H17" s="111">
        <f>E17/B17*100</f>
        <v>41.283147989734815</v>
      </c>
      <c r="I17" s="1">
        <f t="shared" si="3"/>
        <v>100</v>
      </c>
      <c r="J17" s="1" t="s">
        <v>205</v>
      </c>
    </row>
    <row r="18" spans="1:10" ht="18.5" x14ac:dyDescent="0.45">
      <c r="A18" s="165" t="s">
        <v>37</v>
      </c>
      <c r="B18" s="166">
        <v>19891000</v>
      </c>
      <c r="C18" s="130">
        <v>5300000</v>
      </c>
      <c r="D18" s="15">
        <v>0</v>
      </c>
      <c r="E18" s="15">
        <f>10905096+3685904</f>
        <v>14591000</v>
      </c>
      <c r="F18" s="111">
        <f t="shared" ref="F18:F22" si="4">C18/B18*100</f>
        <v>26.645216429540998</v>
      </c>
      <c r="G18" s="111">
        <f t="shared" ref="G18:G22" si="5">D18/B18*100</f>
        <v>0</v>
      </c>
      <c r="H18" s="111">
        <f t="shared" ref="H18:H22" si="6">E18/B18*100</f>
        <v>73.354783570459006</v>
      </c>
      <c r="I18" s="1">
        <f t="shared" si="3"/>
        <v>100</v>
      </c>
      <c r="J18" s="1" t="s">
        <v>206</v>
      </c>
    </row>
    <row r="19" spans="1:10" ht="18.5" x14ac:dyDescent="0.45">
      <c r="A19" s="168" t="s">
        <v>36</v>
      </c>
      <c r="B19" s="169">
        <v>19694000</v>
      </c>
      <c r="C19" s="130">
        <v>6530000</v>
      </c>
      <c r="D19" s="15">
        <f>1334000+520000</f>
        <v>1854000</v>
      </c>
      <c r="E19" s="15">
        <f>7080000+4230000</f>
        <v>11310000</v>
      </c>
      <c r="F19" s="111">
        <f t="shared" si="4"/>
        <v>33.157306793947392</v>
      </c>
      <c r="G19" s="111">
        <f t="shared" si="5"/>
        <v>9.4140347313902701</v>
      </c>
      <c r="H19" s="111">
        <f t="shared" si="6"/>
        <v>57.428658474662328</v>
      </c>
      <c r="I19" s="1">
        <f t="shared" si="3"/>
        <v>99.999999999999986</v>
      </c>
      <c r="J19" s="1" t="s">
        <v>209</v>
      </c>
    </row>
    <row r="20" spans="1:10" ht="37" x14ac:dyDescent="0.45">
      <c r="A20" s="159" t="s">
        <v>35</v>
      </c>
      <c r="B20" s="160">
        <v>32000000</v>
      </c>
      <c r="C20" s="130">
        <v>8332228</v>
      </c>
      <c r="D20" s="15"/>
      <c r="E20" s="15"/>
      <c r="F20" s="111">
        <f t="shared" si="4"/>
        <v>26.0382125</v>
      </c>
      <c r="G20" s="111">
        <f t="shared" si="5"/>
        <v>0</v>
      </c>
      <c r="H20" s="111">
        <f t="shared" si="6"/>
        <v>0</v>
      </c>
      <c r="I20" s="1">
        <f t="shared" si="3"/>
        <v>26.0382125</v>
      </c>
      <c r="J20" s="1"/>
    </row>
    <row r="21" spans="1:10" ht="37" x14ac:dyDescent="0.45">
      <c r="A21" s="159" t="s">
        <v>58</v>
      </c>
      <c r="B21" s="160">
        <v>3791198</v>
      </c>
      <c r="C21" s="130">
        <v>3198000</v>
      </c>
      <c r="D21" s="15"/>
      <c r="E21" s="15">
        <v>593198</v>
      </c>
      <c r="F21" s="111">
        <f t="shared" si="4"/>
        <v>84.353283579491233</v>
      </c>
      <c r="G21" s="111">
        <f t="shared" si="5"/>
        <v>0</v>
      </c>
      <c r="H21" s="111">
        <f t="shared" si="6"/>
        <v>15.646716420508769</v>
      </c>
      <c r="I21" s="1">
        <f t="shared" si="3"/>
        <v>100</v>
      </c>
      <c r="J21" s="1" t="s">
        <v>214</v>
      </c>
    </row>
    <row r="22" spans="1:10" ht="18.5" x14ac:dyDescent="0.45">
      <c r="A22" s="159" t="s">
        <v>46</v>
      </c>
      <c r="B22" s="160">
        <v>38000000</v>
      </c>
      <c r="C22" s="130">
        <v>5600000</v>
      </c>
      <c r="D22" s="15"/>
      <c r="E22" s="15"/>
      <c r="F22" s="111">
        <f t="shared" si="4"/>
        <v>14.736842105263156</v>
      </c>
      <c r="G22" s="111">
        <f t="shared" si="5"/>
        <v>0</v>
      </c>
      <c r="H22" s="111">
        <f t="shared" si="6"/>
        <v>0</v>
      </c>
      <c r="I22" s="1">
        <f t="shared" si="3"/>
        <v>14.736842105263156</v>
      </c>
      <c r="J22" s="1"/>
    </row>
    <row r="23" spans="1:10" ht="55.5" x14ac:dyDescent="0.45">
      <c r="A23" s="127" t="s">
        <v>91</v>
      </c>
      <c r="B23" s="128">
        <v>24700000</v>
      </c>
      <c r="C23" s="130">
        <v>10000000</v>
      </c>
      <c r="D23" s="15"/>
      <c r="E23" s="15">
        <v>14700000</v>
      </c>
      <c r="F23" s="111">
        <f t="shared" ref="F23:F48" si="7">C23/B23*100</f>
        <v>40.48582995951417</v>
      </c>
      <c r="G23" s="111">
        <f t="shared" ref="G23:G48" si="8">D23/B23*100</f>
        <v>0</v>
      </c>
      <c r="H23" s="111">
        <f t="shared" ref="H23:H48" si="9">E23/B23*100</f>
        <v>59.514170040485823</v>
      </c>
      <c r="I23" s="1">
        <f t="shared" ref="I23:I48" si="10">SUM(F23:H23)</f>
        <v>100</v>
      </c>
      <c r="J23" s="1" t="s">
        <v>211</v>
      </c>
    </row>
    <row r="24" spans="1:10" ht="18.5" x14ac:dyDescent="0.45">
      <c r="A24" s="131" t="s">
        <v>65</v>
      </c>
      <c r="B24" s="130">
        <v>10900000</v>
      </c>
      <c r="C24" s="130">
        <v>3800000</v>
      </c>
      <c r="D24" s="15">
        <v>5900000</v>
      </c>
      <c r="E24" s="15">
        <v>1200000</v>
      </c>
      <c r="F24" s="111">
        <f t="shared" si="7"/>
        <v>34.862385321100916</v>
      </c>
      <c r="G24" s="111">
        <f t="shared" si="8"/>
        <v>54.128440366972477</v>
      </c>
      <c r="H24" s="111">
        <f t="shared" si="9"/>
        <v>11.009174311926607</v>
      </c>
      <c r="I24" s="1">
        <f t="shared" si="10"/>
        <v>100</v>
      </c>
      <c r="J24" s="1"/>
    </row>
    <row r="25" spans="1:10" ht="18.5" x14ac:dyDescent="0.45">
      <c r="A25" s="131" t="s">
        <v>69</v>
      </c>
      <c r="B25" s="130">
        <v>5427000</v>
      </c>
      <c r="C25" s="130">
        <f>3700000*0.99</f>
        <v>3663000</v>
      </c>
      <c r="D25" s="15">
        <v>40617</v>
      </c>
      <c r="E25" s="15">
        <v>1741000</v>
      </c>
      <c r="F25" s="111">
        <f t="shared" si="7"/>
        <v>67.495854063018243</v>
      </c>
      <c r="G25" s="111">
        <f t="shared" si="8"/>
        <v>0.74842454394693203</v>
      </c>
      <c r="H25" s="111">
        <f t="shared" si="9"/>
        <v>32.080339045513171</v>
      </c>
      <c r="I25" s="1">
        <f t="shared" si="10"/>
        <v>100.32461765247835</v>
      </c>
      <c r="J25" s="1" t="s">
        <v>212</v>
      </c>
    </row>
    <row r="26" spans="1:10" ht="18.5" x14ac:dyDescent="0.45">
      <c r="A26" s="131" t="s">
        <v>66</v>
      </c>
      <c r="B26" s="130">
        <v>13500000</v>
      </c>
      <c r="C26" s="130">
        <v>6900000</v>
      </c>
      <c r="D26" s="15"/>
      <c r="E26" s="15"/>
      <c r="F26" s="111">
        <f t="shared" si="7"/>
        <v>51.111111111111107</v>
      </c>
      <c r="G26" s="111">
        <f t="shared" si="8"/>
        <v>0</v>
      </c>
      <c r="H26" s="111">
        <f t="shared" si="9"/>
        <v>0</v>
      </c>
      <c r="I26" s="1">
        <f t="shared" si="10"/>
        <v>51.111111111111107</v>
      </c>
      <c r="J26" s="1"/>
    </row>
    <row r="27" spans="1:10" ht="18.5" x14ac:dyDescent="0.45">
      <c r="A27" s="131" t="s">
        <v>68</v>
      </c>
      <c r="B27" s="130">
        <v>6465000</v>
      </c>
      <c r="C27" s="130">
        <v>4300000</v>
      </c>
      <c r="D27" s="15"/>
      <c r="E27" s="15"/>
      <c r="F27" s="111">
        <f t="shared" si="7"/>
        <v>66.51198762567671</v>
      </c>
      <c r="G27" s="111">
        <f t="shared" si="8"/>
        <v>0</v>
      </c>
      <c r="H27" s="111">
        <f t="shared" si="9"/>
        <v>0</v>
      </c>
      <c r="I27" s="1">
        <f t="shared" si="10"/>
        <v>66.51198762567671</v>
      </c>
      <c r="J27" s="1"/>
    </row>
    <row r="28" spans="1:10" ht="18.5" x14ac:dyDescent="0.45">
      <c r="A28" s="131" t="s">
        <v>63</v>
      </c>
      <c r="B28" s="130">
        <v>5000000</v>
      </c>
      <c r="C28" s="130">
        <v>5026150</v>
      </c>
      <c r="D28" s="15"/>
      <c r="E28" s="15"/>
      <c r="F28" s="111">
        <f t="shared" si="7"/>
        <v>100.52300000000001</v>
      </c>
      <c r="G28" s="111">
        <f t="shared" si="8"/>
        <v>0</v>
      </c>
      <c r="H28" s="111">
        <f t="shared" si="9"/>
        <v>0</v>
      </c>
      <c r="I28" s="1">
        <f t="shared" si="10"/>
        <v>100.52300000000001</v>
      </c>
      <c r="J28" s="1"/>
    </row>
    <row r="29" spans="1:10" ht="18.5" x14ac:dyDescent="0.45">
      <c r="A29" s="131" t="s">
        <v>64</v>
      </c>
      <c r="B29" s="130">
        <v>4151070</v>
      </c>
      <c r="C29" s="130">
        <f>4193000*0.99</f>
        <v>4151070</v>
      </c>
      <c r="D29" s="15"/>
      <c r="E29" s="15"/>
      <c r="F29" s="111">
        <f t="shared" si="7"/>
        <v>100</v>
      </c>
      <c r="G29" s="111">
        <f t="shared" si="8"/>
        <v>0</v>
      </c>
      <c r="H29" s="111">
        <f t="shared" si="9"/>
        <v>0</v>
      </c>
      <c r="I29" s="1">
        <f t="shared" si="10"/>
        <v>100</v>
      </c>
      <c r="J29" s="1"/>
    </row>
    <row r="30" spans="1:10" ht="18.5" x14ac:dyDescent="0.45">
      <c r="A30" s="131" t="s">
        <v>67</v>
      </c>
      <c r="B30" s="130">
        <v>7750000</v>
      </c>
      <c r="C30" s="130">
        <v>5000000</v>
      </c>
      <c r="D30" s="15"/>
      <c r="E30" s="15"/>
      <c r="F30" s="111">
        <f t="shared" si="7"/>
        <v>64.516129032258064</v>
      </c>
      <c r="G30" s="111">
        <f t="shared" si="8"/>
        <v>0</v>
      </c>
      <c r="H30" s="111">
        <f t="shared" si="9"/>
        <v>0</v>
      </c>
      <c r="I30" s="1">
        <f t="shared" si="10"/>
        <v>64.516129032258064</v>
      </c>
      <c r="J30" s="1"/>
    </row>
    <row r="31" spans="1:10" ht="18.5" x14ac:dyDescent="0.45">
      <c r="A31" s="131" t="s">
        <v>207</v>
      </c>
      <c r="B31" s="130">
        <v>26190</v>
      </c>
      <c r="C31" s="130">
        <v>26190</v>
      </c>
      <c r="D31" s="15"/>
      <c r="E31" s="15"/>
      <c r="F31" s="111">
        <f t="shared" si="7"/>
        <v>100</v>
      </c>
      <c r="G31" s="111">
        <f t="shared" si="8"/>
        <v>0</v>
      </c>
      <c r="H31" s="111">
        <f t="shared" si="9"/>
        <v>0</v>
      </c>
      <c r="I31" s="1">
        <f t="shared" si="10"/>
        <v>100</v>
      </c>
      <c r="J31" s="1"/>
    </row>
    <row r="32" spans="1:10" ht="18.5" x14ac:dyDescent="0.45">
      <c r="A32" s="132" t="s">
        <v>208</v>
      </c>
      <c r="B32" s="133">
        <f>SUM(B4:B31)</f>
        <v>355124340</v>
      </c>
      <c r="C32" s="133">
        <f>SUM(C4:C31)</f>
        <v>139592488</v>
      </c>
      <c r="D32" s="133">
        <f t="shared" ref="D32:E32" si="11">SUM(D4:D31)</f>
        <v>22013197</v>
      </c>
      <c r="E32" s="133">
        <f t="shared" si="11"/>
        <v>67082378</v>
      </c>
      <c r="F32" s="111">
        <f t="shared" si="7"/>
        <v>39.308059819273439</v>
      </c>
      <c r="G32" s="111">
        <f t="shared" si="8"/>
        <v>6.1987294365686108</v>
      </c>
      <c r="H32" s="111">
        <f t="shared" si="9"/>
        <v>18.889828278174342</v>
      </c>
      <c r="I32" s="1">
        <f t="shared" si="10"/>
        <v>64.3966175340164</v>
      </c>
      <c r="J32" s="1"/>
    </row>
    <row r="33" spans="1:10" ht="18.5" x14ac:dyDescent="0.45">
      <c r="A33" s="131"/>
      <c r="B33" s="130"/>
      <c r="C33" s="130"/>
      <c r="D33" s="15"/>
      <c r="E33" s="15"/>
      <c r="F33" s="111"/>
      <c r="G33" s="111"/>
      <c r="H33" s="111"/>
      <c r="I33" s="1"/>
      <c r="J33" s="1"/>
    </row>
    <row r="34" spans="1:10" ht="18.5" x14ac:dyDescent="0.45">
      <c r="A34" s="17" t="s">
        <v>60</v>
      </c>
      <c r="B34" s="48"/>
      <c r="C34" s="178"/>
      <c r="D34" s="195"/>
      <c r="E34" s="195"/>
      <c r="F34" s="196"/>
      <c r="G34" s="196"/>
      <c r="H34" s="196"/>
      <c r="I34" s="57"/>
      <c r="J34" s="57"/>
    </row>
    <row r="35" spans="1:10" ht="18.5" x14ac:dyDescent="0.45">
      <c r="A35" s="159" t="s">
        <v>46</v>
      </c>
      <c r="B35" s="50" t="s">
        <v>177</v>
      </c>
      <c r="C35" s="125">
        <v>16400000</v>
      </c>
      <c r="D35" s="15"/>
      <c r="E35" s="15"/>
      <c r="F35" s="111"/>
      <c r="G35" s="111"/>
      <c r="H35" s="111"/>
      <c r="I35" s="1"/>
      <c r="J35" s="1"/>
    </row>
    <row r="36" spans="1:10" ht="37" x14ac:dyDescent="0.45">
      <c r="A36" s="159" t="s">
        <v>29</v>
      </c>
      <c r="B36" s="160">
        <v>89600000</v>
      </c>
      <c r="C36" s="130">
        <v>45000000</v>
      </c>
      <c r="D36" s="15"/>
      <c r="E36" s="15"/>
      <c r="F36" s="111">
        <f t="shared" si="7"/>
        <v>50.223214285714292</v>
      </c>
      <c r="G36" s="111">
        <f t="shared" si="8"/>
        <v>0</v>
      </c>
      <c r="H36" s="111">
        <f t="shared" si="9"/>
        <v>0</v>
      </c>
      <c r="I36" s="1">
        <f t="shared" si="10"/>
        <v>50.223214285714292</v>
      </c>
      <c r="J36" s="1"/>
    </row>
    <row r="37" spans="1:10" ht="18.5" x14ac:dyDescent="0.45">
      <c r="A37" s="170" t="s">
        <v>180</v>
      </c>
      <c r="B37" s="133">
        <f>B36+B32</f>
        <v>444724340</v>
      </c>
      <c r="C37" s="133">
        <f>C36+C35+C32</f>
        <v>200992488</v>
      </c>
      <c r="D37" s="133">
        <f t="shared" ref="D37:E37" si="12">D36+D35+D32</f>
        <v>22013197</v>
      </c>
      <c r="E37" s="133">
        <f t="shared" si="12"/>
        <v>67082378</v>
      </c>
      <c r="F37" s="111">
        <f t="shared" ref="F37" si="13">C37/B37*100</f>
        <v>45.194847666759145</v>
      </c>
      <c r="G37" s="111">
        <f t="shared" ref="G37" si="14">D37/B37*100</f>
        <v>4.9498520814039546</v>
      </c>
      <c r="H37" s="111">
        <f t="shared" ref="H37" si="15">E37/B37*100</f>
        <v>15.084035652287437</v>
      </c>
      <c r="I37" s="1">
        <f t="shared" ref="I37" si="16">SUM(F37:H37)</f>
        <v>65.228735400450532</v>
      </c>
      <c r="J37" s="1"/>
    </row>
    <row r="38" spans="1:10" ht="18.5" x14ac:dyDescent="0.45">
      <c r="A38" s="170"/>
      <c r="B38" s="133"/>
      <c r="C38" s="133"/>
      <c r="D38" s="15"/>
      <c r="E38" s="15"/>
      <c r="F38" s="111"/>
      <c r="G38" s="111"/>
      <c r="H38" s="111"/>
      <c r="I38" s="1"/>
      <c r="J38" s="1"/>
    </row>
    <row r="39" spans="1:10" ht="18.5" x14ac:dyDescent="0.45">
      <c r="A39" s="159" t="s">
        <v>75</v>
      </c>
      <c r="B39" s="160">
        <v>60250000</v>
      </c>
      <c r="C39" s="130">
        <v>48057000</v>
      </c>
      <c r="D39" s="15"/>
      <c r="E39" s="15"/>
      <c r="F39" s="111">
        <f t="shared" si="7"/>
        <v>79.762655601659745</v>
      </c>
      <c r="G39" s="111">
        <f t="shared" si="8"/>
        <v>0</v>
      </c>
      <c r="H39" s="111">
        <f t="shared" si="9"/>
        <v>0</v>
      </c>
      <c r="I39" s="1">
        <f t="shared" si="10"/>
        <v>79.762655601659745</v>
      </c>
      <c r="J39" s="1"/>
    </row>
    <row r="40" spans="1:10" ht="18.5" x14ac:dyDescent="0.45">
      <c r="A40" s="159" t="s">
        <v>76</v>
      </c>
      <c r="B40" s="160">
        <v>55000000</v>
      </c>
      <c r="C40" s="130">
        <v>45000000</v>
      </c>
      <c r="D40" s="15"/>
      <c r="E40" s="15"/>
      <c r="F40" s="111">
        <f t="shared" si="7"/>
        <v>81.818181818181827</v>
      </c>
      <c r="G40" s="111">
        <f t="shared" si="8"/>
        <v>0</v>
      </c>
      <c r="H40" s="111">
        <f t="shared" si="9"/>
        <v>0</v>
      </c>
      <c r="I40" s="1">
        <f t="shared" si="10"/>
        <v>81.818181818181827</v>
      </c>
      <c r="J40" s="1"/>
    </row>
    <row r="41" spans="1:10" ht="18.5" x14ac:dyDescent="0.45">
      <c r="A41" s="182" t="s">
        <v>57</v>
      </c>
      <c r="B41" s="183">
        <f>SUM(B39:B40)</f>
        <v>115250000</v>
      </c>
      <c r="C41" s="183">
        <f>SUM(C39:C40)</f>
        <v>93057000</v>
      </c>
      <c r="D41" s="183">
        <f t="shared" ref="D41:E41" si="17">SUM(D39:D40)</f>
        <v>0</v>
      </c>
      <c r="E41" s="183">
        <f t="shared" si="17"/>
        <v>0</v>
      </c>
      <c r="F41" s="111">
        <f t="shared" si="7"/>
        <v>80.74360086767895</v>
      </c>
      <c r="G41" s="111">
        <f t="shared" si="8"/>
        <v>0</v>
      </c>
      <c r="H41" s="111">
        <f t="shared" si="9"/>
        <v>0</v>
      </c>
      <c r="I41" s="1">
        <f t="shared" si="10"/>
        <v>80.74360086767895</v>
      </c>
      <c r="J41" s="1"/>
    </row>
    <row r="42" spans="1:10" ht="18.5" x14ac:dyDescent="0.45">
      <c r="A42" s="182" t="s">
        <v>215</v>
      </c>
      <c r="B42" s="183">
        <f>B41+B37</f>
        <v>559974340</v>
      </c>
      <c r="C42" s="183">
        <f>C41+C37</f>
        <v>294049488</v>
      </c>
      <c r="D42" s="183">
        <f>D41+D37</f>
        <v>22013197</v>
      </c>
      <c r="E42" s="183">
        <f>E41+E37</f>
        <v>67082378</v>
      </c>
      <c r="F42" s="111">
        <f t="shared" ref="F42" si="18">C42/B42*100</f>
        <v>52.511243283040429</v>
      </c>
      <c r="G42" s="111">
        <f t="shared" ref="G42" si="19">D42/B42*100</f>
        <v>3.9311081647062616</v>
      </c>
      <c r="H42" s="111">
        <f t="shared" ref="H42" si="20">E42/B42*100</f>
        <v>11.979544991293709</v>
      </c>
      <c r="I42" s="1">
        <f t="shared" ref="I42" si="21">SUM(F42:H42)</f>
        <v>68.421896439040395</v>
      </c>
      <c r="J42" s="1"/>
    </row>
    <row r="43" spans="1:10" ht="18.5" x14ac:dyDescent="0.45">
      <c r="A43" s="184" t="s">
        <v>174</v>
      </c>
      <c r="B43" s="185"/>
      <c r="C43" s="186"/>
      <c r="D43" s="15"/>
      <c r="E43" s="15"/>
      <c r="F43" s="111"/>
      <c r="G43" s="111"/>
      <c r="H43" s="111"/>
      <c r="I43" s="1"/>
      <c r="J43" s="1"/>
    </row>
    <row r="44" spans="1:10" ht="18.5" x14ac:dyDescent="0.45">
      <c r="A44" s="160" t="s">
        <v>126</v>
      </c>
      <c r="B44" s="160"/>
      <c r="C44" s="160">
        <v>287000</v>
      </c>
      <c r="D44" s="15"/>
      <c r="E44" s="15"/>
      <c r="F44" s="111" t="e">
        <f t="shared" si="7"/>
        <v>#DIV/0!</v>
      </c>
      <c r="G44" s="111" t="e">
        <f t="shared" si="8"/>
        <v>#DIV/0!</v>
      </c>
      <c r="H44" s="111" t="e">
        <f t="shared" si="9"/>
        <v>#DIV/0!</v>
      </c>
      <c r="I44" s="1" t="e">
        <f t="shared" si="10"/>
        <v>#DIV/0!</v>
      </c>
      <c r="J44" s="1"/>
    </row>
    <row r="45" spans="1:10" ht="18.5" x14ac:dyDescent="0.45">
      <c r="A45" s="132" t="s">
        <v>79</v>
      </c>
      <c r="B45" s="133"/>
      <c r="C45" s="130">
        <f>50000+41930+50000+43000+69000+37000+38000+100000</f>
        <v>428930</v>
      </c>
      <c r="D45" s="15"/>
      <c r="E45" s="15"/>
      <c r="F45" s="111"/>
      <c r="G45" s="111"/>
      <c r="H45" s="111"/>
      <c r="I45" s="1"/>
      <c r="J45" s="1"/>
    </row>
    <row r="46" spans="1:10" ht="18.5" x14ac:dyDescent="0.45">
      <c r="A46" s="25" t="s">
        <v>74</v>
      </c>
      <c r="B46" s="49"/>
      <c r="C46" s="188"/>
      <c r="D46" s="15"/>
      <c r="E46" s="15"/>
      <c r="F46" s="111"/>
      <c r="G46" s="111"/>
      <c r="H46" s="111"/>
      <c r="I46" s="1"/>
      <c r="J46" s="1"/>
    </row>
    <row r="47" spans="1:10" ht="18.5" x14ac:dyDescent="0.45">
      <c r="A47" s="32" t="s">
        <v>84</v>
      </c>
      <c r="B47" s="50"/>
      <c r="C47" s="126">
        <v>12100000</v>
      </c>
      <c r="D47" s="15"/>
      <c r="E47" s="15"/>
      <c r="F47" s="111"/>
      <c r="G47" s="111"/>
      <c r="H47" s="111"/>
      <c r="I47" s="1"/>
      <c r="J47" s="1"/>
    </row>
    <row r="48" spans="1:10" ht="18.5" x14ac:dyDescent="0.45">
      <c r="A48" s="131" t="s">
        <v>78</v>
      </c>
      <c r="B48" s="130"/>
      <c r="C48" s="130">
        <v>3200000</v>
      </c>
      <c r="D48" s="15"/>
      <c r="E48" s="15"/>
      <c r="F48" s="111" t="e">
        <f t="shared" si="7"/>
        <v>#DIV/0!</v>
      </c>
      <c r="G48" s="111" t="e">
        <f t="shared" si="8"/>
        <v>#DIV/0!</v>
      </c>
      <c r="H48" s="111" t="e">
        <f t="shared" si="9"/>
        <v>#DIV/0!</v>
      </c>
      <c r="I48" s="1" t="e">
        <f t="shared" si="10"/>
        <v>#DIV/0!</v>
      </c>
      <c r="J48" s="1"/>
    </row>
    <row r="49" spans="1:10" ht="18.5" x14ac:dyDescent="0.45">
      <c r="A49" s="132" t="s">
        <v>57</v>
      </c>
      <c r="B49" s="133">
        <f>SUM(B48:B48)</f>
        <v>0</v>
      </c>
      <c r="C49" s="133">
        <f t="shared" ref="C49" si="22">SUM(C48:C48)</f>
        <v>3200000</v>
      </c>
      <c r="D49" s="15"/>
      <c r="E49" s="15"/>
      <c r="F49" s="111"/>
      <c r="G49" s="111"/>
      <c r="H49" s="111"/>
      <c r="I49" s="1">
        <f t="shared" si="3"/>
        <v>0</v>
      </c>
      <c r="J49" s="1"/>
    </row>
    <row r="50" spans="1:10" ht="18.5" x14ac:dyDescent="0.45">
      <c r="C50" s="167"/>
    </row>
    <row r="51" spans="1:10" ht="18.5" x14ac:dyDescent="0.45">
      <c r="C51" s="133"/>
    </row>
  </sheetData>
  <pageMargins left="0.70866141732283472" right="0.70866141732283472" top="0.74803149606299213" bottom="0.74803149606299213" header="0.31496062992125984" footer="0.31496062992125984"/>
  <pageSetup paperSize="9" scale="43"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4"/>
  <sheetViews>
    <sheetView topLeftCell="A7" workbookViewId="0">
      <selection activeCell="A19" sqref="A19"/>
    </sheetView>
  </sheetViews>
  <sheetFormatPr defaultRowHeight="14.5" x14ac:dyDescent="0.35"/>
  <cols>
    <col min="1" max="1" width="57" bestFit="1" customWidth="1"/>
    <col min="2" max="2" width="12.54296875" bestFit="1" customWidth="1"/>
    <col min="3" max="3" width="8" bestFit="1" customWidth="1"/>
    <col min="4" max="4" width="12.54296875" bestFit="1" customWidth="1"/>
    <col min="5" max="5" width="12.54296875" customWidth="1"/>
    <col min="6" max="6" width="50.81640625" style="51" customWidth="1"/>
  </cols>
  <sheetData>
    <row r="1" spans="1:6" x14ac:dyDescent="0.35">
      <c r="A1" t="s">
        <v>124</v>
      </c>
    </row>
    <row r="2" spans="1:6" x14ac:dyDescent="0.35">
      <c r="A2" s="3"/>
      <c r="B2" s="3"/>
      <c r="C2" s="3"/>
      <c r="D2" s="3"/>
      <c r="E2" s="3"/>
      <c r="F2" s="61"/>
    </row>
    <row r="3" spans="1:6" ht="43.5" x14ac:dyDescent="0.35">
      <c r="A3" s="57"/>
      <c r="B3" s="76" t="s">
        <v>94</v>
      </c>
      <c r="C3" s="76" t="s">
        <v>111</v>
      </c>
      <c r="D3" s="76" t="s">
        <v>95</v>
      </c>
      <c r="E3" s="76" t="s">
        <v>100</v>
      </c>
      <c r="F3" s="76" t="s">
        <v>99</v>
      </c>
    </row>
    <row r="4" spans="1:6" ht="21" x14ac:dyDescent="0.5">
      <c r="A4" s="66" t="s">
        <v>96</v>
      </c>
      <c r="B4" s="67"/>
      <c r="C4" s="67"/>
      <c r="D4" s="67"/>
      <c r="E4" s="67"/>
      <c r="F4" s="67"/>
    </row>
    <row r="5" spans="1:6" ht="58" x14ac:dyDescent="0.35">
      <c r="A5" s="19" t="s">
        <v>18</v>
      </c>
      <c r="B5" s="33">
        <v>10497000</v>
      </c>
      <c r="C5" s="41">
        <f>D5/B5*100</f>
        <v>55.730208631037435</v>
      </c>
      <c r="D5" s="15">
        <v>5850000</v>
      </c>
      <c r="E5" s="15">
        <f>1311365</f>
        <v>1311365</v>
      </c>
      <c r="F5" s="52" t="s">
        <v>105</v>
      </c>
    </row>
    <row r="6" spans="1:6" ht="72.5" x14ac:dyDescent="0.35">
      <c r="A6" s="19" t="s">
        <v>22</v>
      </c>
      <c r="B6" s="33">
        <v>7423000</v>
      </c>
      <c r="C6" s="41">
        <f t="shared" ref="C6:C24" si="0">D6/B6*100</f>
        <v>44.456419237505052</v>
      </c>
      <c r="D6" s="15">
        <v>3300000</v>
      </c>
      <c r="E6" s="15">
        <v>1193328</v>
      </c>
      <c r="F6" s="52" t="s">
        <v>104</v>
      </c>
    </row>
    <row r="7" spans="1:6" ht="29" x14ac:dyDescent="0.35">
      <c r="A7" s="55" t="s">
        <v>91</v>
      </c>
      <c r="B7" s="56">
        <v>97000000</v>
      </c>
      <c r="C7" s="42">
        <f>D7/B7*100</f>
        <v>10.309278350515463</v>
      </c>
      <c r="D7" s="15">
        <v>10000000</v>
      </c>
      <c r="E7" s="15">
        <v>0</v>
      </c>
      <c r="F7" s="52" t="s">
        <v>108</v>
      </c>
    </row>
    <row r="8" spans="1:6" ht="29" x14ac:dyDescent="0.35">
      <c r="A8" s="19" t="s">
        <v>46</v>
      </c>
      <c r="B8" s="33">
        <v>38000000</v>
      </c>
      <c r="C8" s="19">
        <f>D8/B8*100</f>
        <v>43.15789473684211</v>
      </c>
      <c r="D8" s="15">
        <v>16400000</v>
      </c>
      <c r="E8" s="15">
        <f>2578616+755360+26059</f>
        <v>3360035</v>
      </c>
      <c r="F8" s="52" t="s">
        <v>109</v>
      </c>
    </row>
    <row r="9" spans="1:6" ht="29" x14ac:dyDescent="0.35">
      <c r="A9" s="19" t="s">
        <v>75</v>
      </c>
      <c r="B9" s="33">
        <v>58483982</v>
      </c>
      <c r="C9" s="19">
        <f>D9/B9*100</f>
        <v>79.987713558902328</v>
      </c>
      <c r="D9" s="15">
        <v>46780000</v>
      </c>
      <c r="E9" s="15">
        <v>2061513</v>
      </c>
      <c r="F9" s="52" t="s">
        <v>103</v>
      </c>
    </row>
    <row r="10" spans="1:6" ht="43.5" x14ac:dyDescent="0.35">
      <c r="A10" s="19" t="s">
        <v>29</v>
      </c>
      <c r="B10" s="33">
        <v>90743268</v>
      </c>
      <c r="C10" s="19">
        <f t="shared" ref="C10:C11" si="1">D10/B10*100</f>
        <v>49.590455569662758</v>
      </c>
      <c r="D10" s="15">
        <v>45000000</v>
      </c>
      <c r="E10" s="15">
        <v>7222090</v>
      </c>
      <c r="F10" s="52" t="s">
        <v>110</v>
      </c>
    </row>
    <row r="11" spans="1:6" ht="29" x14ac:dyDescent="0.35">
      <c r="A11" s="19" t="s">
        <v>76</v>
      </c>
      <c r="B11" s="33">
        <v>57000000</v>
      </c>
      <c r="C11" s="19">
        <f t="shared" si="1"/>
        <v>78.94736842105263</v>
      </c>
      <c r="D11" s="15">
        <v>45000000</v>
      </c>
      <c r="E11" s="15">
        <v>585313</v>
      </c>
      <c r="F11" s="52" t="s">
        <v>112</v>
      </c>
    </row>
    <row r="12" spans="1:6" x14ac:dyDescent="0.35">
      <c r="A12" s="58" t="s">
        <v>57</v>
      </c>
      <c r="B12" s="59">
        <f>SUM(B5:B11)</f>
        <v>359147250</v>
      </c>
      <c r="C12" s="59"/>
      <c r="D12" s="59">
        <f>SUM(D5:D11)</f>
        <v>172330000</v>
      </c>
      <c r="E12" s="59">
        <f>SUM(E5:E11)</f>
        <v>15733644</v>
      </c>
      <c r="F12" s="52"/>
    </row>
    <row r="13" spans="1:6" x14ac:dyDescent="0.35">
      <c r="A13" s="55"/>
      <c r="B13" s="56"/>
      <c r="C13" s="42"/>
      <c r="D13" s="15"/>
      <c r="E13" s="15"/>
      <c r="F13" s="52"/>
    </row>
    <row r="14" spans="1:6" ht="21" x14ac:dyDescent="0.5">
      <c r="A14" s="24" t="s">
        <v>97</v>
      </c>
      <c r="B14" s="73"/>
      <c r="C14" s="74"/>
      <c r="D14" s="28"/>
      <c r="E14" s="28"/>
      <c r="F14" s="65"/>
    </row>
    <row r="15" spans="1:6" ht="43.5" x14ac:dyDescent="0.35">
      <c r="A15" s="19" t="s">
        <v>35</v>
      </c>
      <c r="B15" s="33">
        <v>35000000</v>
      </c>
      <c r="C15" s="41">
        <f>D15/B15*100</f>
        <v>23.805714285714284</v>
      </c>
      <c r="D15" s="15">
        <v>8332000</v>
      </c>
      <c r="E15" s="15">
        <v>50000</v>
      </c>
      <c r="F15" s="52" t="s">
        <v>113</v>
      </c>
    </row>
    <row r="16" spans="1:6" x14ac:dyDescent="0.35">
      <c r="A16" s="19" t="s">
        <v>39</v>
      </c>
      <c r="B16" s="33">
        <v>21000000</v>
      </c>
      <c r="C16" s="41">
        <f>D16/B16*100</f>
        <v>64.285714285714292</v>
      </c>
      <c r="D16" s="15">
        <v>13500000</v>
      </c>
      <c r="E16" s="15">
        <v>21000000</v>
      </c>
      <c r="F16" s="52" t="s">
        <v>106</v>
      </c>
    </row>
    <row r="17" spans="1:6" ht="43.5" x14ac:dyDescent="0.35">
      <c r="A17" s="1" t="s">
        <v>65</v>
      </c>
      <c r="B17" s="15">
        <v>5000000</v>
      </c>
      <c r="C17" s="42">
        <f>D17/B17*100</f>
        <v>76</v>
      </c>
      <c r="D17" s="15">
        <v>3800000</v>
      </c>
      <c r="E17" s="15">
        <v>0</v>
      </c>
      <c r="F17" s="52" t="s">
        <v>114</v>
      </c>
    </row>
    <row r="18" spans="1:6" ht="29" x14ac:dyDescent="0.35">
      <c r="A18" s="1" t="s">
        <v>69</v>
      </c>
      <c r="B18" s="15">
        <v>5427000</v>
      </c>
      <c r="C18" s="42">
        <f>D18/B18*100</f>
        <v>67.495854063018243</v>
      </c>
      <c r="D18" s="15">
        <f>3700000*0.99</f>
        <v>3663000</v>
      </c>
      <c r="E18" s="15">
        <v>0</v>
      </c>
      <c r="F18" s="52" t="s">
        <v>115</v>
      </c>
    </row>
    <row r="19" spans="1:6" x14ac:dyDescent="0.35">
      <c r="A19" s="4" t="s">
        <v>101</v>
      </c>
      <c r="B19" s="46">
        <f>SUM(B15:B18)</f>
        <v>66427000</v>
      </c>
      <c r="C19" s="46"/>
      <c r="D19" s="46">
        <f>SUM(D15:D18)</f>
        <v>29295000</v>
      </c>
      <c r="E19" s="46">
        <f>SUM(E15:E18)</f>
        <v>21050000</v>
      </c>
      <c r="F19" s="52"/>
    </row>
    <row r="20" spans="1:6" x14ac:dyDescent="0.35">
      <c r="A20" s="4"/>
      <c r="B20" s="46"/>
      <c r="C20" s="46"/>
      <c r="D20" s="46"/>
      <c r="E20" s="46"/>
      <c r="F20" s="52"/>
    </row>
    <row r="21" spans="1:6" ht="21" x14ac:dyDescent="0.5">
      <c r="A21" s="68" t="s">
        <v>98</v>
      </c>
      <c r="B21" s="69"/>
      <c r="C21" s="70"/>
      <c r="D21" s="71"/>
      <c r="E21" s="71"/>
      <c r="F21" s="62"/>
    </row>
    <row r="22" spans="1:6" ht="29" x14ac:dyDescent="0.35">
      <c r="A22" s="19" t="s">
        <v>42</v>
      </c>
      <c r="B22" s="33">
        <v>11690000</v>
      </c>
      <c r="C22" s="41">
        <f t="shared" si="0"/>
        <v>42.771599657827203</v>
      </c>
      <c r="D22" s="15">
        <v>5000000</v>
      </c>
      <c r="E22" s="15">
        <f>3020000</f>
        <v>3020000</v>
      </c>
      <c r="F22" s="52" t="s">
        <v>117</v>
      </c>
    </row>
    <row r="23" spans="1:6" ht="43.5" x14ac:dyDescent="0.35">
      <c r="A23" s="53" t="s">
        <v>37</v>
      </c>
      <c r="B23" s="54">
        <v>19350000</v>
      </c>
      <c r="C23" s="41">
        <f t="shared" si="0"/>
        <v>27.390180878552972</v>
      </c>
      <c r="D23" s="15">
        <v>5300000</v>
      </c>
      <c r="E23" s="15">
        <f>2462000+295000</f>
        <v>2757000</v>
      </c>
      <c r="F23" s="52" t="s">
        <v>116</v>
      </c>
    </row>
    <row r="24" spans="1:6" ht="29" x14ac:dyDescent="0.35">
      <c r="A24" s="21" t="s">
        <v>36</v>
      </c>
      <c r="B24" s="45">
        <v>18415000</v>
      </c>
      <c r="C24" s="41">
        <f t="shared" si="0"/>
        <v>35.460222644583226</v>
      </c>
      <c r="D24" s="15">
        <v>6530000</v>
      </c>
      <c r="E24" s="15">
        <f>1983000+262000</f>
        <v>2245000</v>
      </c>
      <c r="F24" s="52" t="s">
        <v>118</v>
      </c>
    </row>
    <row r="25" spans="1:6" ht="29" x14ac:dyDescent="0.35">
      <c r="A25" s="1" t="s">
        <v>66</v>
      </c>
      <c r="B25" s="15">
        <v>35000000</v>
      </c>
      <c r="C25" s="42">
        <f t="shared" ref="C25:C33" si="2">D25/B25*100</f>
        <v>19.714285714285715</v>
      </c>
      <c r="D25" s="15">
        <v>6900000</v>
      </c>
      <c r="E25" s="15">
        <v>0</v>
      </c>
      <c r="F25" s="52" t="s">
        <v>123</v>
      </c>
    </row>
    <row r="26" spans="1:6" x14ac:dyDescent="0.35">
      <c r="A26" s="19" t="s">
        <v>38</v>
      </c>
      <c r="B26" s="33">
        <v>3620000</v>
      </c>
      <c r="C26" s="41">
        <f>D26/B26*100</f>
        <v>59.11602209944752</v>
      </c>
      <c r="D26" s="15">
        <v>2140000</v>
      </c>
      <c r="E26" s="15">
        <v>3620000</v>
      </c>
      <c r="F26" s="52" t="s">
        <v>107</v>
      </c>
    </row>
    <row r="27" spans="1:6" x14ac:dyDescent="0.35">
      <c r="A27" s="1" t="s">
        <v>68</v>
      </c>
      <c r="B27" s="15">
        <v>6465000</v>
      </c>
      <c r="C27" s="42">
        <f t="shared" si="2"/>
        <v>66.51198762567671</v>
      </c>
      <c r="D27" s="15">
        <v>4300000</v>
      </c>
      <c r="E27" s="15">
        <v>0</v>
      </c>
      <c r="F27" s="52" t="s">
        <v>119</v>
      </c>
    </row>
    <row r="28" spans="1:6" x14ac:dyDescent="0.35">
      <c r="A28" s="2" t="s">
        <v>57</v>
      </c>
      <c r="B28" s="18">
        <f>SUM(B22:B27)</f>
        <v>94540000</v>
      </c>
      <c r="C28" s="18"/>
      <c r="D28" s="18">
        <f>SUM(D22:D27)</f>
        <v>30170000</v>
      </c>
      <c r="E28" s="18">
        <f>SUM(E22:E27)</f>
        <v>11642000</v>
      </c>
      <c r="F28" s="52"/>
    </row>
    <row r="29" spans="1:6" x14ac:dyDescent="0.35">
      <c r="A29" s="1"/>
      <c r="B29" s="15"/>
      <c r="C29" s="42"/>
      <c r="D29" s="15"/>
      <c r="E29" s="15"/>
      <c r="F29" s="52"/>
    </row>
    <row r="30" spans="1:6" ht="21" x14ac:dyDescent="0.5">
      <c r="A30" s="63" t="s">
        <v>102</v>
      </c>
      <c r="B30" s="72"/>
      <c r="C30" s="75"/>
      <c r="D30" s="72"/>
      <c r="E30" s="72"/>
      <c r="F30" s="64"/>
    </row>
    <row r="31" spans="1:6" ht="29" x14ac:dyDescent="0.35">
      <c r="A31" s="1" t="s">
        <v>63</v>
      </c>
      <c r="B31" s="15">
        <v>5000000</v>
      </c>
      <c r="C31" s="42">
        <f t="shared" si="2"/>
        <v>100</v>
      </c>
      <c r="D31" s="15">
        <v>5000000</v>
      </c>
      <c r="E31" s="15"/>
      <c r="F31" s="52" t="s">
        <v>122</v>
      </c>
    </row>
    <row r="32" spans="1:6" ht="29" x14ac:dyDescent="0.35">
      <c r="A32" s="1" t="s">
        <v>64</v>
      </c>
      <c r="B32" s="15">
        <v>4151070</v>
      </c>
      <c r="C32" s="42">
        <f t="shared" si="2"/>
        <v>100</v>
      </c>
      <c r="D32" s="15">
        <f>4193000*0.99</f>
        <v>4151070</v>
      </c>
      <c r="E32" s="15"/>
      <c r="F32" s="52" t="s">
        <v>121</v>
      </c>
    </row>
    <row r="33" spans="1:6" ht="29" x14ac:dyDescent="0.35">
      <c r="A33" s="1" t="s">
        <v>67</v>
      </c>
      <c r="B33" s="15">
        <v>14250000</v>
      </c>
      <c r="C33" s="42">
        <f t="shared" si="2"/>
        <v>35.087719298245609</v>
      </c>
      <c r="D33" s="15">
        <v>5000000</v>
      </c>
      <c r="E33" s="15"/>
      <c r="F33" s="52" t="s">
        <v>120</v>
      </c>
    </row>
    <row r="34" spans="1:6" x14ac:dyDescent="0.35">
      <c r="A34" s="2" t="s">
        <v>57</v>
      </c>
      <c r="B34" s="60">
        <f>SUM(B31:B33)</f>
        <v>23401070</v>
      </c>
      <c r="C34" s="60"/>
      <c r="D34" s="60">
        <f t="shared" ref="D34" si="3">SUM(D31:D33)</f>
        <v>14151070</v>
      </c>
      <c r="E34" s="1"/>
      <c r="F34" s="52"/>
    </row>
  </sheetData>
  <pageMargins left="0.70866141732283472" right="0.70866141732283472" top="0.74803149606299213" bottom="0.74803149606299213" header="0.31496062992125984" footer="0.31496062992125984"/>
  <pageSetup paperSize="9" scale="52"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00C05-4B32-4587-AD7D-B7645C791B59}">
  <dimension ref="A1:D8"/>
  <sheetViews>
    <sheetView workbookViewId="0">
      <selection activeCell="D20" sqref="D20"/>
    </sheetView>
  </sheetViews>
  <sheetFormatPr defaultRowHeight="14.5" x14ac:dyDescent="0.35"/>
  <cols>
    <col min="1" max="1" width="45" bestFit="1" customWidth="1"/>
    <col min="2" max="2" width="11.54296875" customWidth="1"/>
    <col min="3" max="3" width="13.81640625" customWidth="1"/>
    <col min="4" max="4" width="37.1796875" customWidth="1"/>
  </cols>
  <sheetData>
    <row r="1" spans="1:4" x14ac:dyDescent="0.35">
      <c r="A1" s="199" t="s">
        <v>238</v>
      </c>
    </row>
    <row r="3" spans="1:4" ht="29" x14ac:dyDescent="0.35">
      <c r="A3" s="2" t="s">
        <v>239</v>
      </c>
      <c r="B3" s="4" t="s">
        <v>241</v>
      </c>
      <c r="C3" s="4" t="s">
        <v>245</v>
      </c>
      <c r="D3" s="2" t="s">
        <v>240</v>
      </c>
    </row>
    <row r="4" spans="1:4" x14ac:dyDescent="0.35">
      <c r="A4" s="1" t="s">
        <v>242</v>
      </c>
      <c r="B4" s="15">
        <v>17382850</v>
      </c>
      <c r="C4" s="15">
        <v>6800000</v>
      </c>
      <c r="D4" s="1" t="s">
        <v>243</v>
      </c>
    </row>
    <row r="5" spans="1:4" x14ac:dyDescent="0.35">
      <c r="A5" s="1" t="s">
        <v>244</v>
      </c>
      <c r="B5" s="15">
        <v>3500000</v>
      </c>
      <c r="C5" s="15">
        <v>3198000</v>
      </c>
      <c r="D5" s="1" t="s">
        <v>139</v>
      </c>
    </row>
    <row r="6" spans="1:4" x14ac:dyDescent="0.35">
      <c r="A6" s="1" t="s">
        <v>35</v>
      </c>
      <c r="B6" s="15">
        <v>17429000</v>
      </c>
      <c r="C6" s="15">
        <v>8332228</v>
      </c>
      <c r="D6" s="52" t="s">
        <v>246</v>
      </c>
    </row>
    <row r="7" spans="1:4" ht="29" x14ac:dyDescent="0.35">
      <c r="A7" s="1" t="s">
        <v>235</v>
      </c>
      <c r="B7" s="15">
        <v>1024000</v>
      </c>
      <c r="C7" s="15">
        <v>640000</v>
      </c>
      <c r="D7" s="52" t="s">
        <v>247</v>
      </c>
    </row>
    <row r="8" spans="1:4" x14ac:dyDescent="0.35">
      <c r="A8" s="1" t="s">
        <v>57</v>
      </c>
      <c r="B8" s="15">
        <f>SUM(B4:B7)</f>
        <v>39335850</v>
      </c>
      <c r="C8" s="15">
        <f>SUM(C4:C7)</f>
        <v>18970228</v>
      </c>
      <c r="D8" s="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5"/>
  <sheetViews>
    <sheetView workbookViewId="0">
      <selection activeCell="B8" sqref="B8"/>
    </sheetView>
  </sheetViews>
  <sheetFormatPr defaultRowHeight="14.5" x14ac:dyDescent="0.35"/>
  <cols>
    <col min="1" max="1" width="42.453125" bestFit="1" customWidth="1"/>
    <col min="2" max="2" width="46.7265625" customWidth="1"/>
    <col min="3" max="4" width="11.54296875" bestFit="1" customWidth="1"/>
  </cols>
  <sheetData>
    <row r="1" spans="1:11" ht="18.5" x14ac:dyDescent="0.45">
      <c r="A1" s="102" t="s">
        <v>156</v>
      </c>
      <c r="B1" s="103" t="s">
        <v>168</v>
      </c>
    </row>
    <row r="3" spans="1:11" ht="31" x14ac:dyDescent="0.35">
      <c r="A3" s="79" t="s">
        <v>129</v>
      </c>
      <c r="B3" s="79" t="s">
        <v>77</v>
      </c>
      <c r="C3" s="79" t="s">
        <v>130</v>
      </c>
      <c r="D3" s="79" t="s">
        <v>163</v>
      </c>
      <c r="E3" s="79" t="s">
        <v>131</v>
      </c>
    </row>
    <row r="4" spans="1:11" ht="15.5" x14ac:dyDescent="0.35">
      <c r="A4" s="96" t="s">
        <v>132</v>
      </c>
      <c r="B4" s="97"/>
      <c r="C4" s="97"/>
      <c r="D4" s="97"/>
      <c r="E4" s="98"/>
    </row>
    <row r="5" spans="1:11" ht="29" x14ac:dyDescent="0.35">
      <c r="A5" s="19" t="s">
        <v>18</v>
      </c>
      <c r="B5" s="19" t="s">
        <v>134</v>
      </c>
      <c r="C5" s="43">
        <v>10497000</v>
      </c>
      <c r="D5" s="35">
        <v>5850000</v>
      </c>
      <c r="E5" s="80"/>
    </row>
    <row r="6" spans="1:11" ht="29" x14ac:dyDescent="0.35">
      <c r="A6" s="19" t="s">
        <v>22</v>
      </c>
      <c r="B6" s="19" t="s">
        <v>135</v>
      </c>
      <c r="C6" s="33">
        <v>7423000</v>
      </c>
      <c r="D6" s="15">
        <v>3300000</v>
      </c>
      <c r="E6" s="80"/>
    </row>
    <row r="7" spans="1:11" ht="87" x14ac:dyDescent="0.35">
      <c r="A7" s="19" t="s">
        <v>136</v>
      </c>
      <c r="B7" s="19" t="s">
        <v>169</v>
      </c>
      <c r="C7" s="33">
        <v>21000000</v>
      </c>
      <c r="D7" s="15">
        <v>13500000</v>
      </c>
      <c r="E7" s="88"/>
    </row>
    <row r="8" spans="1:11" ht="15.5" x14ac:dyDescent="0.35">
      <c r="A8" s="81" t="s">
        <v>157</v>
      </c>
      <c r="B8" s="101" t="s">
        <v>139</v>
      </c>
      <c r="C8" s="82">
        <v>3620000</v>
      </c>
      <c r="D8" s="83">
        <v>2140000</v>
      </c>
      <c r="E8" s="84"/>
      <c r="K8">
        <f>10/24.7*100</f>
        <v>40.48582995951417</v>
      </c>
    </row>
    <row r="9" spans="1:11" ht="29" x14ac:dyDescent="0.35">
      <c r="A9" s="19" t="s">
        <v>73</v>
      </c>
      <c r="B9" s="19" t="s">
        <v>140</v>
      </c>
      <c r="C9" s="33">
        <v>31982000</v>
      </c>
      <c r="D9" s="15">
        <v>10000000</v>
      </c>
      <c r="E9" s="88"/>
    </row>
    <row r="10" spans="1:11" ht="15.5" x14ac:dyDescent="0.35">
      <c r="A10" s="19" t="s">
        <v>24</v>
      </c>
      <c r="B10" s="19" t="s">
        <v>141</v>
      </c>
      <c r="C10" s="33">
        <v>7000000</v>
      </c>
      <c r="D10" s="15">
        <v>2475000</v>
      </c>
      <c r="E10" s="80"/>
    </row>
    <row r="11" spans="1:11" ht="29" x14ac:dyDescent="0.35">
      <c r="A11" s="19" t="s">
        <v>25</v>
      </c>
      <c r="B11" s="19" t="s">
        <v>142</v>
      </c>
      <c r="C11" s="33">
        <v>9980000</v>
      </c>
      <c r="D11" s="15">
        <v>3556000</v>
      </c>
      <c r="E11" s="86"/>
    </row>
    <row r="12" spans="1:11" x14ac:dyDescent="0.35">
      <c r="A12" s="19" t="s">
        <v>26</v>
      </c>
      <c r="B12" s="19" t="s">
        <v>141</v>
      </c>
      <c r="C12" s="33">
        <v>2045000</v>
      </c>
      <c r="D12" s="15">
        <v>675000</v>
      </c>
      <c r="E12" s="85"/>
    </row>
    <row r="13" spans="1:11" ht="29" x14ac:dyDescent="0.35">
      <c r="A13" s="19" t="s">
        <v>27</v>
      </c>
      <c r="B13" s="19" t="s">
        <v>143</v>
      </c>
      <c r="C13" s="33">
        <v>6000000</v>
      </c>
      <c r="D13" s="15">
        <v>2170000</v>
      </c>
      <c r="E13" s="85"/>
    </row>
    <row r="14" spans="1:11" ht="43.5" x14ac:dyDescent="0.35">
      <c r="A14" s="19" t="s">
        <v>41</v>
      </c>
      <c r="B14" s="19" t="s">
        <v>144</v>
      </c>
      <c r="C14" s="33">
        <v>16744000</v>
      </c>
      <c r="D14" s="15">
        <v>6800000</v>
      </c>
      <c r="E14" s="86"/>
    </row>
    <row r="15" spans="1:11" x14ac:dyDescent="0.35">
      <c r="A15" s="19" t="s">
        <v>42</v>
      </c>
      <c r="B15" s="19" t="s">
        <v>158</v>
      </c>
      <c r="C15" s="33">
        <v>11690000</v>
      </c>
      <c r="D15" s="15">
        <v>5000000</v>
      </c>
      <c r="E15" s="85"/>
    </row>
    <row r="16" spans="1:11" ht="101.5" x14ac:dyDescent="0.35">
      <c r="A16" s="53" t="s">
        <v>166</v>
      </c>
      <c r="B16" s="19" t="s">
        <v>167</v>
      </c>
      <c r="C16" s="44">
        <v>19350000</v>
      </c>
      <c r="D16" s="15">
        <v>5300000</v>
      </c>
      <c r="E16" s="87"/>
    </row>
    <row r="17" spans="1:5" ht="29" x14ac:dyDescent="0.35">
      <c r="A17" s="21" t="s">
        <v>36</v>
      </c>
      <c r="B17" s="19" t="s">
        <v>159</v>
      </c>
      <c r="C17" s="45">
        <v>18415000</v>
      </c>
      <c r="D17" s="15">
        <v>6530000</v>
      </c>
      <c r="E17" s="85"/>
    </row>
    <row r="18" spans="1:5" ht="72.5" x14ac:dyDescent="0.35">
      <c r="A18" s="19" t="s">
        <v>35</v>
      </c>
      <c r="B18" s="19" t="s">
        <v>145</v>
      </c>
      <c r="C18" s="33">
        <v>35000000</v>
      </c>
      <c r="D18" s="15">
        <v>8332000</v>
      </c>
      <c r="E18" s="87"/>
    </row>
    <row r="19" spans="1:5" x14ac:dyDescent="0.35">
      <c r="A19" s="19" t="s">
        <v>58</v>
      </c>
      <c r="B19" s="19" t="s">
        <v>146</v>
      </c>
      <c r="C19" s="33">
        <v>3500000</v>
      </c>
      <c r="D19" s="15">
        <v>3198000</v>
      </c>
      <c r="E19" s="85"/>
    </row>
    <row r="20" spans="1:5" ht="18.5" x14ac:dyDescent="0.45">
      <c r="A20" s="99" t="s">
        <v>133</v>
      </c>
      <c r="B20" s="77"/>
      <c r="C20" s="78"/>
      <c r="D20" s="78"/>
      <c r="E20" s="78"/>
    </row>
    <row r="21" spans="1:5" ht="29" x14ac:dyDescent="0.35">
      <c r="A21" s="55" t="s">
        <v>91</v>
      </c>
      <c r="B21" s="19" t="s">
        <v>160</v>
      </c>
      <c r="C21" s="47">
        <v>69000000</v>
      </c>
      <c r="D21" s="15">
        <v>10000000</v>
      </c>
      <c r="E21" s="85"/>
    </row>
    <row r="22" spans="1:5" ht="29" x14ac:dyDescent="0.35">
      <c r="A22" s="1" t="s">
        <v>65</v>
      </c>
      <c r="B22" s="19" t="s">
        <v>147</v>
      </c>
      <c r="C22" s="15">
        <v>5000000</v>
      </c>
      <c r="D22" s="15">
        <v>3800000</v>
      </c>
      <c r="E22" s="85"/>
    </row>
    <row r="23" spans="1:5" ht="29" x14ac:dyDescent="0.35">
      <c r="A23" s="1" t="s">
        <v>69</v>
      </c>
      <c r="B23" s="19" t="s">
        <v>148</v>
      </c>
      <c r="C23" s="15">
        <v>5427000</v>
      </c>
      <c r="D23" s="15">
        <f>3700000*0.99</f>
        <v>3663000</v>
      </c>
      <c r="E23" s="85"/>
    </row>
    <row r="24" spans="1:5" ht="58" x14ac:dyDescent="0.35">
      <c r="A24" s="1" t="s">
        <v>66</v>
      </c>
      <c r="B24" s="19" t="s">
        <v>161</v>
      </c>
      <c r="C24" s="15">
        <v>13500000</v>
      </c>
      <c r="D24" s="15">
        <v>6900000</v>
      </c>
      <c r="E24" s="85"/>
    </row>
    <row r="25" spans="1:5" ht="29" x14ac:dyDescent="0.35">
      <c r="A25" s="1" t="s">
        <v>68</v>
      </c>
      <c r="B25" s="19" t="s">
        <v>149</v>
      </c>
      <c r="C25" s="15">
        <v>6465000</v>
      </c>
      <c r="D25" s="15">
        <v>4300000</v>
      </c>
      <c r="E25" s="85"/>
    </row>
    <row r="26" spans="1:5" x14ac:dyDescent="0.35">
      <c r="A26" s="1" t="s">
        <v>63</v>
      </c>
      <c r="B26" s="19" t="s">
        <v>150</v>
      </c>
      <c r="C26" s="15">
        <v>5000000</v>
      </c>
      <c r="D26" s="15">
        <v>5000000</v>
      </c>
      <c r="E26" s="86"/>
    </row>
    <row r="27" spans="1:5" ht="29" x14ac:dyDescent="0.35">
      <c r="A27" s="1" t="s">
        <v>64</v>
      </c>
      <c r="B27" s="19" t="s">
        <v>151</v>
      </c>
      <c r="C27" s="15">
        <v>4151070</v>
      </c>
      <c r="D27" s="15">
        <f>4193000*0.99</f>
        <v>4151070</v>
      </c>
      <c r="E27" s="85"/>
    </row>
    <row r="28" spans="1:5" ht="29" x14ac:dyDescent="0.35">
      <c r="A28" s="52" t="s">
        <v>67</v>
      </c>
      <c r="B28" s="19" t="s">
        <v>152</v>
      </c>
      <c r="C28" s="15">
        <v>7750000</v>
      </c>
      <c r="D28" s="15">
        <v>5000000</v>
      </c>
      <c r="E28" s="86"/>
    </row>
    <row r="29" spans="1:5" ht="18.5" x14ac:dyDescent="0.45">
      <c r="A29" s="92" t="s">
        <v>60</v>
      </c>
      <c r="B29" s="93"/>
      <c r="C29" s="94"/>
      <c r="D29" s="94"/>
      <c r="E29" s="95"/>
    </row>
    <row r="30" spans="1:5" ht="43.5" x14ac:dyDescent="0.35">
      <c r="A30" s="19" t="s">
        <v>46</v>
      </c>
      <c r="B30" s="19" t="s">
        <v>155</v>
      </c>
      <c r="C30" s="33">
        <v>38000000</v>
      </c>
      <c r="D30" s="15">
        <v>16400000</v>
      </c>
      <c r="E30" s="86"/>
    </row>
    <row r="31" spans="1:5" ht="29" x14ac:dyDescent="0.35">
      <c r="A31" s="19" t="s">
        <v>75</v>
      </c>
      <c r="B31" s="19" t="s">
        <v>154</v>
      </c>
      <c r="C31" s="33">
        <v>58483982</v>
      </c>
      <c r="D31" s="15">
        <v>46780000</v>
      </c>
      <c r="E31" s="85"/>
    </row>
    <row r="32" spans="1:5" ht="58" x14ac:dyDescent="0.35">
      <c r="A32" s="19" t="s">
        <v>153</v>
      </c>
      <c r="B32" s="19" t="s">
        <v>164</v>
      </c>
      <c r="C32" s="33">
        <v>90743268</v>
      </c>
      <c r="D32" s="15">
        <v>45000000</v>
      </c>
      <c r="E32" s="86"/>
    </row>
    <row r="33" spans="1:5" ht="43.5" x14ac:dyDescent="0.35">
      <c r="A33" s="19" t="s">
        <v>76</v>
      </c>
      <c r="B33" s="19" t="s">
        <v>162</v>
      </c>
      <c r="C33" s="33">
        <v>57000000</v>
      </c>
      <c r="D33" s="15">
        <v>45000000</v>
      </c>
      <c r="E33" s="86"/>
    </row>
    <row r="34" spans="1:5" ht="18.5" x14ac:dyDescent="0.45">
      <c r="A34" s="100" t="s">
        <v>74</v>
      </c>
      <c r="B34" s="89"/>
      <c r="C34" s="90"/>
      <c r="D34" s="90"/>
      <c r="E34" s="91"/>
    </row>
    <row r="35" spans="1:5" ht="29" x14ac:dyDescent="0.35">
      <c r="A35" s="1" t="s">
        <v>78</v>
      </c>
      <c r="B35" s="19" t="s">
        <v>165</v>
      </c>
      <c r="C35" s="1">
        <v>14000000</v>
      </c>
      <c r="D35" s="1">
        <v>32000000</v>
      </c>
      <c r="E35" s="85"/>
    </row>
  </sheetData>
  <pageMargins left="0.70866141732283472" right="0.70866141732283472" top="0.74803149606299213" bottom="0.74803149606299213" header="0.31496062992125984" footer="0.31496062992125984"/>
  <pageSetup paperSize="9" scale="4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1"/>
  <sheetViews>
    <sheetView topLeftCell="A12" workbookViewId="0">
      <selection activeCell="A3" sqref="A3:E22"/>
    </sheetView>
  </sheetViews>
  <sheetFormatPr defaultRowHeight="14.5" x14ac:dyDescent="0.35"/>
  <cols>
    <col min="1" max="1" width="24.54296875" customWidth="1"/>
    <col min="2" max="2" width="12.7265625" bestFit="1" customWidth="1"/>
    <col min="3" max="4" width="10.54296875" bestFit="1" customWidth="1"/>
    <col min="5" max="5" width="12.453125" customWidth="1"/>
  </cols>
  <sheetData>
    <row r="1" spans="1:5" x14ac:dyDescent="0.35">
      <c r="A1" t="s">
        <v>171</v>
      </c>
    </row>
    <row r="3" spans="1:5" ht="29" x14ac:dyDescent="0.35">
      <c r="A3" s="104" t="s">
        <v>17</v>
      </c>
      <c r="B3" s="106" t="s">
        <v>127</v>
      </c>
      <c r="C3" s="107" t="s">
        <v>125</v>
      </c>
      <c r="D3" s="108" t="s">
        <v>128</v>
      </c>
      <c r="E3" s="105" t="s">
        <v>172</v>
      </c>
    </row>
    <row r="4" spans="1:5" ht="21" x14ac:dyDescent="0.5">
      <c r="A4" s="16" t="s">
        <v>61</v>
      </c>
      <c r="B4" s="26"/>
      <c r="C4" s="26"/>
      <c r="D4" s="27"/>
      <c r="E4" s="1"/>
    </row>
    <row r="5" spans="1:5" x14ac:dyDescent="0.35">
      <c r="A5" s="36" t="s">
        <v>81</v>
      </c>
      <c r="B5" s="31">
        <f>18269116-B26</f>
        <v>7920938</v>
      </c>
      <c r="C5" s="31"/>
      <c r="D5" s="37"/>
      <c r="E5" s="1"/>
    </row>
    <row r="6" spans="1:5" x14ac:dyDescent="0.35">
      <c r="A6" s="33" t="s">
        <v>126</v>
      </c>
      <c r="B6" s="33">
        <v>287000</v>
      </c>
      <c r="C6" s="33">
        <v>77500</v>
      </c>
      <c r="D6" s="109">
        <v>77500</v>
      </c>
      <c r="E6" s="111">
        <f>D6+C6</f>
        <v>155000</v>
      </c>
    </row>
    <row r="7" spans="1:5" x14ac:dyDescent="0.35">
      <c r="A7" s="34" t="s">
        <v>18</v>
      </c>
      <c r="B7" s="35">
        <v>2279000</v>
      </c>
      <c r="C7" s="35">
        <v>530646</v>
      </c>
      <c r="D7" s="110">
        <v>117000</v>
      </c>
      <c r="E7" s="111">
        <f t="shared" ref="E7:E21" si="0">D7+C7</f>
        <v>647646</v>
      </c>
    </row>
    <row r="8" spans="1:5" x14ac:dyDescent="0.35">
      <c r="A8" s="19" t="s">
        <v>22</v>
      </c>
      <c r="B8" s="15">
        <v>1980000</v>
      </c>
      <c r="C8" s="15">
        <v>962527</v>
      </c>
      <c r="D8" s="22">
        <v>0</v>
      </c>
      <c r="E8" s="111">
        <f t="shared" si="0"/>
        <v>962527</v>
      </c>
    </row>
    <row r="9" spans="1:5" x14ac:dyDescent="0.35">
      <c r="A9" s="19" t="s">
        <v>39</v>
      </c>
      <c r="B9" s="15">
        <v>0</v>
      </c>
      <c r="C9" s="15">
        <v>0</v>
      </c>
      <c r="D9" s="22">
        <v>0</v>
      </c>
      <c r="E9" s="111">
        <f t="shared" si="0"/>
        <v>0</v>
      </c>
    </row>
    <row r="10" spans="1:5" x14ac:dyDescent="0.35">
      <c r="A10" s="19" t="s">
        <v>137</v>
      </c>
      <c r="B10" s="15">
        <v>0</v>
      </c>
      <c r="C10" s="15">
        <v>0</v>
      </c>
      <c r="D10" s="22">
        <v>0</v>
      </c>
      <c r="E10" s="111">
        <f t="shared" si="0"/>
        <v>0</v>
      </c>
    </row>
    <row r="11" spans="1:5" ht="29" x14ac:dyDescent="0.35">
      <c r="A11" s="19" t="s">
        <v>73</v>
      </c>
      <c r="B11" s="15">
        <v>2500000</v>
      </c>
      <c r="C11" s="15"/>
      <c r="D11" s="22">
        <v>1710097.72</v>
      </c>
      <c r="E11" s="111">
        <f t="shared" si="0"/>
        <v>1710097.72</v>
      </c>
    </row>
    <row r="12" spans="1:5" ht="29" x14ac:dyDescent="0.35">
      <c r="A12" s="19" t="s">
        <v>24</v>
      </c>
      <c r="B12" s="15">
        <v>323500</v>
      </c>
      <c r="C12" s="15"/>
      <c r="D12" s="22">
        <v>323500</v>
      </c>
      <c r="E12" s="111">
        <f t="shared" si="0"/>
        <v>323500</v>
      </c>
    </row>
    <row r="13" spans="1:5" ht="29" x14ac:dyDescent="0.35">
      <c r="A13" s="19" t="s">
        <v>25</v>
      </c>
      <c r="B13" s="15">
        <v>612084</v>
      </c>
      <c r="C13" s="15"/>
      <c r="D13" s="22">
        <v>612084</v>
      </c>
      <c r="E13" s="111">
        <f t="shared" si="0"/>
        <v>612084</v>
      </c>
    </row>
    <row r="14" spans="1:5" ht="29" x14ac:dyDescent="0.35">
      <c r="A14" s="19" t="s">
        <v>26</v>
      </c>
      <c r="B14" s="15">
        <f>154365+67485</f>
        <v>221850</v>
      </c>
      <c r="C14" s="15"/>
      <c r="D14" s="22">
        <v>104172</v>
      </c>
      <c r="E14" s="111">
        <f t="shared" si="0"/>
        <v>104172</v>
      </c>
    </row>
    <row r="15" spans="1:5" ht="43.5" x14ac:dyDescent="0.35">
      <c r="A15" s="19" t="s">
        <v>170</v>
      </c>
      <c r="B15" s="15">
        <v>443775</v>
      </c>
      <c r="C15" s="15"/>
      <c r="D15" s="22">
        <v>443775</v>
      </c>
      <c r="E15" s="111">
        <f t="shared" si="0"/>
        <v>443775</v>
      </c>
    </row>
    <row r="16" spans="1:5" x14ac:dyDescent="0.35">
      <c r="A16" s="19" t="s">
        <v>41</v>
      </c>
      <c r="B16" s="15">
        <v>0</v>
      </c>
      <c r="C16" s="15"/>
      <c r="D16" s="22"/>
      <c r="E16" s="111">
        <f t="shared" si="0"/>
        <v>0</v>
      </c>
    </row>
    <row r="17" spans="1:5" ht="29" x14ac:dyDescent="0.35">
      <c r="A17" s="19" t="s">
        <v>138</v>
      </c>
      <c r="B17" s="15">
        <v>2523014</v>
      </c>
      <c r="C17" s="15">
        <v>1660000</v>
      </c>
      <c r="D17" s="22"/>
      <c r="E17" s="111">
        <f t="shared" si="0"/>
        <v>1660000</v>
      </c>
    </row>
    <row r="18" spans="1:5" x14ac:dyDescent="0.35">
      <c r="A18" s="20" t="s">
        <v>37</v>
      </c>
      <c r="B18" s="15">
        <v>424000</v>
      </c>
      <c r="C18" s="15">
        <v>424000</v>
      </c>
      <c r="D18" s="22">
        <v>0</v>
      </c>
      <c r="E18" s="111">
        <f t="shared" si="0"/>
        <v>424000</v>
      </c>
    </row>
    <row r="19" spans="1:5" x14ac:dyDescent="0.35">
      <c r="A19" s="21" t="s">
        <v>36</v>
      </c>
      <c r="B19" s="15">
        <v>3195000</v>
      </c>
      <c r="C19" s="15">
        <v>665000</v>
      </c>
      <c r="D19" s="22"/>
      <c r="E19" s="111">
        <f t="shared" si="0"/>
        <v>665000</v>
      </c>
    </row>
    <row r="20" spans="1:5" ht="29" x14ac:dyDescent="0.35">
      <c r="A20" s="19" t="s">
        <v>35</v>
      </c>
      <c r="B20" s="15">
        <v>165000</v>
      </c>
      <c r="C20" s="15"/>
      <c r="D20" s="22"/>
      <c r="E20" s="111">
        <f t="shared" si="0"/>
        <v>0</v>
      </c>
    </row>
    <row r="21" spans="1:5" ht="29" x14ac:dyDescent="0.35">
      <c r="A21" s="19" t="s">
        <v>58</v>
      </c>
      <c r="B21" s="15">
        <v>826000</v>
      </c>
      <c r="C21" s="15"/>
      <c r="D21" s="22">
        <f>'All projects'!I19</f>
        <v>546425</v>
      </c>
      <c r="E21" s="111">
        <f t="shared" si="0"/>
        <v>546425</v>
      </c>
    </row>
    <row r="22" spans="1:5" x14ac:dyDescent="0.35">
      <c r="A22" s="4" t="s">
        <v>72</v>
      </c>
      <c r="B22" s="23">
        <f t="shared" ref="B22:D22" si="1">SUM(B6:B21)</f>
        <v>15780223</v>
      </c>
      <c r="C22" s="23">
        <f t="shared" si="1"/>
        <v>4319673</v>
      </c>
      <c r="D22" s="23">
        <f t="shared" si="1"/>
        <v>3934553.7199999997</v>
      </c>
      <c r="E22" s="60">
        <f>D22+C22</f>
        <v>8254226.7199999997</v>
      </c>
    </row>
    <row r="23" spans="1:5" ht="29" x14ac:dyDescent="0.35">
      <c r="A23" s="19" t="s">
        <v>87</v>
      </c>
      <c r="B23" s="18"/>
      <c r="C23" s="18" t="e">
        <f>#REF!+#REF!+C22+D22</f>
        <v>#REF!</v>
      </c>
      <c r="D23" s="18"/>
    </row>
    <row r="24" spans="1:5" x14ac:dyDescent="0.35">
      <c r="A24" s="19"/>
      <c r="B24" s="18"/>
      <c r="C24" s="18"/>
      <c r="D24" s="18"/>
    </row>
    <row r="25" spans="1:5" ht="21" x14ac:dyDescent="0.5">
      <c r="A25" s="24" t="s">
        <v>62</v>
      </c>
      <c r="B25" s="28"/>
      <c r="C25" s="28"/>
      <c r="D25" s="28"/>
    </row>
    <row r="26" spans="1:5" ht="42" x14ac:dyDescent="0.5">
      <c r="A26" s="29" t="s">
        <v>81</v>
      </c>
      <c r="B26" s="30">
        <v>10348178</v>
      </c>
      <c r="C26" s="30"/>
      <c r="D26" s="30"/>
    </row>
    <row r="27" spans="1:5" ht="43.5" x14ac:dyDescent="0.35">
      <c r="A27" s="40" t="s">
        <v>91</v>
      </c>
      <c r="B27" s="15">
        <v>600000</v>
      </c>
      <c r="C27" s="15">
        <v>0</v>
      </c>
      <c r="D27" s="15">
        <v>0</v>
      </c>
    </row>
    <row r="28" spans="1:5" x14ac:dyDescent="0.35">
      <c r="A28" s="1" t="s">
        <v>65</v>
      </c>
      <c r="B28" s="15">
        <v>712000</v>
      </c>
      <c r="C28" s="15"/>
      <c r="D28" s="15"/>
    </row>
    <row r="29" spans="1:5" x14ac:dyDescent="0.35">
      <c r="A29" s="1" t="s">
        <v>69</v>
      </c>
      <c r="B29" s="15">
        <v>200000</v>
      </c>
      <c r="C29" s="15"/>
      <c r="D29" s="15"/>
    </row>
    <row r="30" spans="1:5" x14ac:dyDescent="0.35">
      <c r="A30" s="1" t="s">
        <v>66</v>
      </c>
      <c r="B30" s="15">
        <f>226583.83+1424055.03</f>
        <v>1650638.86</v>
      </c>
      <c r="C30" s="15"/>
      <c r="D30" s="15"/>
    </row>
    <row r="31" spans="1:5" x14ac:dyDescent="0.35">
      <c r="A31" s="1" t="s">
        <v>68</v>
      </c>
      <c r="B31" s="15">
        <v>250000</v>
      </c>
      <c r="C31" s="15"/>
      <c r="D31" s="15"/>
    </row>
    <row r="32" spans="1:5" x14ac:dyDescent="0.35">
      <c r="A32" s="1" t="s">
        <v>63</v>
      </c>
      <c r="B32" s="15">
        <v>0</v>
      </c>
      <c r="C32" s="15"/>
      <c r="D32" s="15"/>
    </row>
    <row r="33" spans="1:4" x14ac:dyDescent="0.35">
      <c r="A33" s="1" t="s">
        <v>64</v>
      </c>
      <c r="B33" s="15">
        <v>0</v>
      </c>
      <c r="C33" s="15"/>
      <c r="D33" s="15"/>
    </row>
    <row r="34" spans="1:4" x14ac:dyDescent="0.35">
      <c r="A34" s="1" t="s">
        <v>67</v>
      </c>
      <c r="B34" s="15">
        <v>100000</v>
      </c>
      <c r="C34" s="15"/>
      <c r="D34" s="15"/>
    </row>
    <row r="35" spans="1:4" x14ac:dyDescent="0.35">
      <c r="A35" s="2" t="s">
        <v>79</v>
      </c>
      <c r="B35" s="15">
        <v>107233</v>
      </c>
      <c r="C35" s="15"/>
      <c r="D35" s="15"/>
    </row>
    <row r="36" spans="1:4" x14ac:dyDescent="0.35">
      <c r="A36" s="2" t="s">
        <v>70</v>
      </c>
      <c r="B36" s="18">
        <f t="shared" ref="B36:D36" si="2">SUM(B27:B35)</f>
        <v>3619871.8600000003</v>
      </c>
      <c r="C36" s="18">
        <f t="shared" si="2"/>
        <v>0</v>
      </c>
      <c r="D36" s="18">
        <f t="shared" si="2"/>
        <v>0</v>
      </c>
    </row>
    <row r="37" spans="1:4" x14ac:dyDescent="0.35">
      <c r="A37" s="2" t="s">
        <v>82</v>
      </c>
      <c r="B37" s="18">
        <f>B26-B36</f>
        <v>6728306.1399999997</v>
      </c>
      <c r="C37" s="18"/>
      <c r="D37" s="18"/>
    </row>
    <row r="38" spans="1:4" x14ac:dyDescent="0.35">
      <c r="A38" s="1"/>
      <c r="B38" s="15"/>
      <c r="C38" s="15"/>
      <c r="D38" s="15"/>
    </row>
    <row r="39" spans="1:4" x14ac:dyDescent="0.35">
      <c r="A39" s="38" t="s">
        <v>90</v>
      </c>
      <c r="B39" s="39" t="e">
        <f>#REF!+B26</f>
        <v>#REF!</v>
      </c>
      <c r="C39" s="39"/>
      <c r="D39" s="39"/>
    </row>
    <row r="40" spans="1:4" x14ac:dyDescent="0.35">
      <c r="A40" s="38" t="s">
        <v>71</v>
      </c>
      <c r="B40" s="39">
        <f>B36+B22</f>
        <v>19400094.859999999</v>
      </c>
      <c r="C40" s="39">
        <f t="shared" ref="C40:D40" si="3">C36+C22</f>
        <v>4319673</v>
      </c>
      <c r="D40" s="39">
        <f t="shared" si="3"/>
        <v>3934553.7199999997</v>
      </c>
    </row>
    <row r="41" spans="1:4" x14ac:dyDescent="0.35">
      <c r="A41" s="2" t="s">
        <v>88</v>
      </c>
      <c r="B41" s="18" t="e">
        <f t="shared" ref="B41" si="4">B39-B40</f>
        <v>#REF!</v>
      </c>
      <c r="C41" s="18"/>
      <c r="D41" s="18"/>
    </row>
  </sheetData>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A9BD9-494A-40FF-B076-1B3C626053DE}">
  <dimension ref="A1:D21"/>
  <sheetViews>
    <sheetView workbookViewId="0">
      <selection activeCell="D21" sqref="A1:D21"/>
    </sheetView>
  </sheetViews>
  <sheetFormatPr defaultRowHeight="14.5" x14ac:dyDescent="0.35"/>
  <cols>
    <col min="1" max="1" width="43.26953125" customWidth="1"/>
    <col min="2" max="3" width="16" bestFit="1" customWidth="1"/>
    <col min="4" max="4" width="56.453125" bestFit="1" customWidth="1"/>
  </cols>
  <sheetData>
    <row r="1" spans="1:4" x14ac:dyDescent="0.35">
      <c r="A1" s="2" t="s">
        <v>129</v>
      </c>
      <c r="B1" s="2" t="s">
        <v>216</v>
      </c>
      <c r="C1" s="2" t="s">
        <v>202</v>
      </c>
      <c r="D1" s="197" t="s">
        <v>220</v>
      </c>
    </row>
    <row r="2" spans="1:4" x14ac:dyDescent="0.35">
      <c r="A2" s="15" t="s">
        <v>176</v>
      </c>
      <c r="B2" s="15">
        <v>25747350</v>
      </c>
      <c r="C2" s="15">
        <v>4800000</v>
      </c>
      <c r="D2" s="1" t="s">
        <v>107</v>
      </c>
    </row>
    <row r="3" spans="1:4" x14ac:dyDescent="0.35">
      <c r="A3" s="15" t="s">
        <v>137</v>
      </c>
      <c r="B3" s="15">
        <v>4986000</v>
      </c>
      <c r="C3" s="15">
        <v>2140000</v>
      </c>
      <c r="D3" s="1" t="s">
        <v>107</v>
      </c>
    </row>
    <row r="4" spans="1:4" x14ac:dyDescent="0.35">
      <c r="A4" s="15" t="s">
        <v>18</v>
      </c>
      <c r="B4" s="15">
        <v>10378000</v>
      </c>
      <c r="C4" s="15">
        <v>5850000</v>
      </c>
      <c r="D4" s="1" t="s">
        <v>222</v>
      </c>
    </row>
    <row r="5" spans="1:4" x14ac:dyDescent="0.35">
      <c r="A5" s="15" t="s">
        <v>22</v>
      </c>
      <c r="B5" s="15">
        <v>7500000</v>
      </c>
      <c r="C5" s="15">
        <v>3300000</v>
      </c>
      <c r="D5" s="1" t="s">
        <v>221</v>
      </c>
    </row>
    <row r="6" spans="1:4" x14ac:dyDescent="0.35">
      <c r="A6" s="15" t="s">
        <v>138</v>
      </c>
      <c r="B6" s="15">
        <v>11690000</v>
      </c>
      <c r="C6" s="15">
        <v>5000000</v>
      </c>
      <c r="D6" s="1" t="s">
        <v>107</v>
      </c>
    </row>
    <row r="7" spans="1:4" x14ac:dyDescent="0.35">
      <c r="A7" s="15" t="s">
        <v>37</v>
      </c>
      <c r="B7" s="15">
        <v>19891000</v>
      </c>
      <c r="C7" s="15">
        <v>5300000</v>
      </c>
      <c r="D7" s="1" t="s">
        <v>223</v>
      </c>
    </row>
    <row r="8" spans="1:4" x14ac:dyDescent="0.35">
      <c r="A8" s="15" t="s">
        <v>36</v>
      </c>
      <c r="B8" s="15">
        <v>19694000</v>
      </c>
      <c r="C8" s="15">
        <v>6530000</v>
      </c>
      <c r="D8" s="1" t="s">
        <v>224</v>
      </c>
    </row>
    <row r="9" spans="1:4" x14ac:dyDescent="0.35">
      <c r="A9" s="15" t="s">
        <v>46</v>
      </c>
      <c r="B9" s="15">
        <v>38000000</v>
      </c>
      <c r="C9" s="15">
        <v>5600000</v>
      </c>
      <c r="D9" s="1" t="s">
        <v>228</v>
      </c>
    </row>
    <row r="10" spans="1:4" x14ac:dyDescent="0.35">
      <c r="A10" s="15" t="s">
        <v>69</v>
      </c>
      <c r="B10" s="15">
        <v>5427000</v>
      </c>
      <c r="C10" s="15">
        <f>3700000*0.99</f>
        <v>3663000</v>
      </c>
      <c r="D10" s="1" t="s">
        <v>225</v>
      </c>
    </row>
    <row r="11" spans="1:4" x14ac:dyDescent="0.35">
      <c r="A11" s="15" t="s">
        <v>66</v>
      </c>
      <c r="B11" s="15">
        <v>13500000</v>
      </c>
      <c r="C11" s="15">
        <v>6900000</v>
      </c>
      <c r="D11" s="1" t="s">
        <v>226</v>
      </c>
    </row>
    <row r="12" spans="1:4" x14ac:dyDescent="0.35">
      <c r="A12" s="15" t="s">
        <v>68</v>
      </c>
      <c r="B12" s="15">
        <v>6465000</v>
      </c>
      <c r="C12" s="15">
        <v>4300000</v>
      </c>
      <c r="D12" s="1" t="s">
        <v>227</v>
      </c>
    </row>
    <row r="13" spans="1:4" ht="15.75" customHeight="1" x14ac:dyDescent="0.35">
      <c r="A13" s="15" t="s">
        <v>67</v>
      </c>
      <c r="B13" s="15">
        <v>7750000</v>
      </c>
      <c r="C13" s="15">
        <v>5000000</v>
      </c>
      <c r="D13" s="1" t="s">
        <v>229</v>
      </c>
    </row>
    <row r="14" spans="1:4" ht="15.75" customHeight="1" x14ac:dyDescent="0.35">
      <c r="A14" s="18" t="s">
        <v>57</v>
      </c>
      <c r="B14" s="18">
        <f>SUM(B2:B13)</f>
        <v>171028350</v>
      </c>
      <c r="C14" s="18">
        <f>SUM(C2:C13)</f>
        <v>58383000</v>
      </c>
      <c r="D14" s="1"/>
    </row>
    <row r="15" spans="1:4" x14ac:dyDescent="0.35">
      <c r="A15" s="18" t="s">
        <v>60</v>
      </c>
      <c r="B15" s="15"/>
      <c r="C15" s="15"/>
      <c r="D15" s="1"/>
    </row>
    <row r="16" spans="1:4" x14ac:dyDescent="0.35">
      <c r="A16" s="15" t="s">
        <v>46</v>
      </c>
      <c r="B16" s="15" t="s">
        <v>217</v>
      </c>
      <c r="C16" s="15">
        <v>16400000</v>
      </c>
      <c r="D16" s="1" t="s">
        <v>177</v>
      </c>
    </row>
    <row r="17" spans="1:4" x14ac:dyDescent="0.35">
      <c r="A17" s="15" t="s">
        <v>29</v>
      </c>
      <c r="B17" s="15">
        <v>89600000</v>
      </c>
      <c r="C17" s="15">
        <v>45000000</v>
      </c>
      <c r="D17" s="1" t="s">
        <v>230</v>
      </c>
    </row>
    <row r="18" spans="1:4" x14ac:dyDescent="0.35">
      <c r="A18" s="15" t="s">
        <v>75</v>
      </c>
      <c r="B18" s="15">
        <v>60250000</v>
      </c>
      <c r="C18" s="15">
        <v>48057000</v>
      </c>
      <c r="D18" s="1" t="s">
        <v>231</v>
      </c>
    </row>
    <row r="19" spans="1:4" x14ac:dyDescent="0.35">
      <c r="A19" s="15" t="s">
        <v>76</v>
      </c>
      <c r="B19" s="15">
        <v>55000000</v>
      </c>
      <c r="C19" s="15">
        <v>45000000</v>
      </c>
      <c r="D19" s="1" t="s">
        <v>231</v>
      </c>
    </row>
    <row r="20" spans="1:4" x14ac:dyDescent="0.35">
      <c r="A20" s="18" t="s">
        <v>218</v>
      </c>
      <c r="B20" s="60">
        <f>SUM(B17:B19)</f>
        <v>204850000</v>
      </c>
      <c r="C20" s="60">
        <f>SUM(C16:C19)</f>
        <v>154457000</v>
      </c>
      <c r="D20" s="1"/>
    </row>
    <row r="21" spans="1:4" x14ac:dyDescent="0.35">
      <c r="A21" s="18" t="s">
        <v>219</v>
      </c>
      <c r="B21" s="60">
        <f>B20+B14</f>
        <v>375878350</v>
      </c>
      <c r="C21" s="60">
        <f>C20+C14</f>
        <v>212840000</v>
      </c>
      <c r="D21" s="1"/>
    </row>
  </sheetData>
  <pageMargins left="0.7" right="0.7" top="0.75" bottom="0.75" header="0.3" footer="0.3"/>
  <pageSetup orientation="portrait" horizontalDpi="1200" verticalDpi="1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Sheet1</vt:lpstr>
      <vt:lpstr>All projects</vt:lpstr>
      <vt:lpstr>Funding split</vt:lpstr>
      <vt:lpstr>projects broken down by LA</vt:lpstr>
      <vt:lpstr>Ellesmere Port</vt:lpstr>
      <vt:lpstr>RAG Status</vt:lpstr>
      <vt:lpstr>Qtr spend</vt:lpstr>
      <vt:lpstr>Transport schemes</vt:lpstr>
      <vt:lpstr>'All projects'!Print_Area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Brosnahan</dc:creator>
  <cp:lastModifiedBy>Jane Wilson</cp:lastModifiedBy>
  <cp:lastPrinted>2019-01-10T10:36:17Z</cp:lastPrinted>
  <dcterms:created xsi:type="dcterms:W3CDTF">2017-04-03T07:15:58Z</dcterms:created>
  <dcterms:modified xsi:type="dcterms:W3CDTF">2020-08-27T17:47:40Z</dcterms:modified>
</cp:coreProperties>
</file>